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drawings/drawing5.xml" ContentType="application/vnd.openxmlformats-officedocument.drawingml.chartshapes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9.xml" ContentType="application/vnd.openxmlformats-officedocument.drawing+xml"/>
  <Override PartName="/xl/charts/chart20.xml" ContentType="application/vnd.openxmlformats-officedocument.drawingml.chart+xml"/>
  <Override PartName="/xl/drawings/drawing10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1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drawings/drawing14.xml" ContentType="application/vnd.openxmlformats-officedocument.drawing+xml"/>
  <Override PartName="/xl/charts/chart30.xml" ContentType="application/vnd.openxmlformats-officedocument.drawingml.chart+xml"/>
  <Override PartName="/xl/drawings/drawing15.xml" ContentType="application/vnd.openxmlformats-officedocument.drawing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drawings/drawing18.xml" ContentType="application/vnd.openxmlformats-officedocument.drawing+xml"/>
  <Override PartName="/xl/charts/chart34.xml" ContentType="application/vnd.openxmlformats-officedocument.drawingml.chart+xml"/>
  <Override PartName="/xl/drawings/drawing19.xml" ContentType="application/vnd.openxmlformats-officedocument.drawing+xml"/>
  <Override PartName="/xl/charts/chart35.xml" ContentType="application/vnd.openxmlformats-officedocument.drawingml.chart+xml"/>
  <Override PartName="/xl/drawings/drawing20.xml" ContentType="application/vnd.openxmlformats-officedocument.drawing+xml"/>
  <Override PartName="/xl/charts/chart36.xml" ContentType="application/vnd.openxmlformats-officedocument.drawingml.chart+xml"/>
  <Override PartName="/xl/drawings/drawing21.xml" ContentType="application/vnd.openxmlformats-officedocument.drawing+xml"/>
  <Override PartName="/xl/charts/chart37.xml" ContentType="application/vnd.openxmlformats-officedocument.drawingml.chart+xml"/>
  <Override PartName="/xl/drawings/drawing22.xml" ContentType="application/vnd.openxmlformats-officedocument.drawing+xml"/>
  <Override PartName="/xl/charts/chart38.xml" ContentType="application/vnd.openxmlformats-officedocument.drawingml.chart+xml"/>
  <Override PartName="/xl/drawings/drawing23.xml" ContentType="application/vnd.openxmlformats-officedocument.drawing+xml"/>
  <Override PartName="/xl/charts/chart39.xml" ContentType="application/vnd.openxmlformats-officedocument.drawingml.chart+xml"/>
  <Override PartName="/xl/drawings/drawing24.xml" ContentType="application/vnd.openxmlformats-officedocument.drawing+xml"/>
  <Override PartName="/xl/charts/chart40.xml" ContentType="application/vnd.openxmlformats-officedocument.drawingml.chart+xml"/>
  <Override PartName="/xl/drawings/drawing25.xml" ContentType="application/vnd.openxmlformats-officedocument.drawing+xml"/>
  <Override PartName="/xl/charts/chart41.xml" ContentType="application/vnd.openxmlformats-officedocument.drawingml.chart+xml"/>
  <Override PartName="/xl/drawings/drawing26.xml" ContentType="application/vnd.openxmlformats-officedocument.drawing+xml"/>
  <Override PartName="/xl/charts/chart42.xml" ContentType="application/vnd.openxmlformats-officedocument.drawingml.chart+xml"/>
  <Override PartName="/xl/drawings/drawing27.xml" ContentType="application/vnd.openxmlformats-officedocument.drawing+xml"/>
  <Override PartName="/xl/charts/chart43.xml" ContentType="application/vnd.openxmlformats-officedocument.drawingml.chart+xml"/>
  <Override PartName="/xl/drawings/drawing28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9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efektywność 2025\"/>
    </mc:Choice>
  </mc:AlternateContent>
  <xr:revisionPtr revIDLastSave="0" documentId="13_ncr:1_{D5EB7CE6-88F3-42E1-AB95-DBDD79A31D51}" xr6:coauthVersionLast="47" xr6:coauthVersionMax="47" xr10:uidLastSave="{00000000-0000-0000-0000-000000000000}"/>
  <bookViews>
    <workbookView xWindow="-120" yWindow="-120" windowWidth="29040" windowHeight="15720" tabRatio="974" firstSheet="32" activeTab="54" xr2:uid="{00000000-000D-0000-FFFF-FFFF00000000}"/>
  </bookViews>
  <sheets>
    <sheet name="25r" sheetId="120" r:id="rId1"/>
    <sheet name="24r" sheetId="89" r:id="rId2"/>
    <sheet name="23r" sheetId="88" r:id="rId3"/>
    <sheet name="22r" sheetId="81" r:id="rId4"/>
    <sheet name="21r" sheetId="76" r:id="rId5"/>
    <sheet name="20r" sheetId="73" r:id="rId6"/>
    <sheet name="18r" sheetId="63" r:id="rId7"/>
    <sheet name="19r" sheetId="69" r:id="rId8"/>
    <sheet name="17r" sheetId="64" r:id="rId9"/>
    <sheet name="16r" sheetId="65" r:id="rId10"/>
    <sheet name="15r" sheetId="66" r:id="rId11"/>
    <sheet name="S.25" sheetId="98" r:id="rId12"/>
    <sheet name="S.24" sheetId="54" r:id="rId13"/>
    <sheet name="W" sheetId="83" r:id="rId14"/>
    <sheet name="EKiZ25" sheetId="99" r:id="rId15"/>
    <sheet name="a" sheetId="61" r:id="rId16"/>
    <sheet name="b" sheetId="118" r:id="rId17"/>
    <sheet name="EZ.25" sheetId="102" r:id="rId18"/>
    <sheet name="c" sheetId="67" r:id="rId19"/>
    <sheet name="d" sheetId="68" r:id="rId20"/>
    <sheet name="d.25" sheetId="100" r:id="rId21"/>
    <sheet name="1.25" sheetId="111" r:id="rId22"/>
    <sheet name="2.25" sheetId="112" r:id="rId23"/>
    <sheet name="3.25" sheetId="113" r:id="rId24"/>
    <sheet name="4.25" sheetId="114" r:id="rId25"/>
    <sheet name="5.25" sheetId="115" r:id="rId26"/>
    <sheet name="6.25" sheetId="116" r:id="rId27"/>
    <sheet name="7.25" sheetId="117" r:id="rId28"/>
    <sheet name="EK1" sheetId="87" r:id="rId29"/>
    <sheet name="EK24" sheetId="103" r:id="rId30"/>
    <sheet name="I.25" sheetId="104" r:id="rId31"/>
    <sheet name="II.25" sheetId="105" r:id="rId32"/>
    <sheet name="III.25" sheetId="106" r:id="rId33"/>
    <sheet name="IV.25" sheetId="107" r:id="rId34"/>
    <sheet name="V.25" sheetId="108" r:id="rId35"/>
    <sheet name="VI.25" sheetId="109" r:id="rId36"/>
    <sheet name="VII.25" sheetId="110" r:id="rId37"/>
    <sheet name="z25" sheetId="119" r:id="rId38"/>
    <sheet name="z24" sheetId="92" r:id="rId39"/>
    <sheet name="z23" sheetId="91" r:id="rId40"/>
    <sheet name="z22" sheetId="82" r:id="rId41"/>
    <sheet name="z21" sheetId="77" r:id="rId42"/>
    <sheet name="z20" sheetId="74" r:id="rId43"/>
    <sheet name="z19" sheetId="71" r:id="rId44"/>
    <sheet name="z18" sheetId="56" r:id="rId45"/>
    <sheet name="z17" sheetId="57" r:id="rId46"/>
    <sheet name="z16" sheetId="58" r:id="rId47"/>
    <sheet name="z15" sheetId="60" r:id="rId48"/>
    <sheet name="W.25" sheetId="97" r:id="rId49"/>
    <sheet name="P.25" sheetId="96" r:id="rId50"/>
    <sheet name="P." sheetId="28" r:id="rId51"/>
    <sheet name="01" sheetId="2" r:id="rId52"/>
    <sheet name="02" sheetId="3" r:id="rId53"/>
    <sheet name="03" sheetId="4" r:id="rId54"/>
    <sheet name="04" sheetId="5" r:id="rId55"/>
    <sheet name="05" sheetId="6" r:id="rId56"/>
    <sheet name="06" sheetId="7" r:id="rId57"/>
    <sheet name="07" sheetId="8" r:id="rId58"/>
    <sheet name="08" sheetId="9" r:id="rId59"/>
    <sheet name="09" sheetId="10" r:id="rId60"/>
    <sheet name="10" sheetId="11" r:id="rId61"/>
    <sheet name="11" sheetId="12" r:id="rId62"/>
    <sheet name="12" sheetId="13" r:id="rId63"/>
    <sheet name="13w62" sheetId="14" r:id="rId64"/>
    <sheet name="14" sheetId="15" r:id="rId65"/>
    <sheet name="15" sheetId="16" r:id="rId66"/>
    <sheet name="16w63" sheetId="25" r:id="rId67"/>
    <sheet name="17" sheetId="18" r:id="rId68"/>
    <sheet name="18" sheetId="19" r:id="rId69"/>
    <sheet name="19" sheetId="20" r:id="rId70"/>
    <sheet name="20" sheetId="21" r:id="rId71"/>
    <sheet name="21" sheetId="22" r:id="rId72"/>
    <sheet name="61w07" sheetId="23" r:id="rId73"/>
    <sheet name="62" sheetId="24" r:id="rId74"/>
    <sheet name="63" sheetId="17" r:id="rId75"/>
    <sheet name="64w20" sheetId="26" r:id="rId76"/>
    <sheet name="przec.zat." sheetId="62" r:id="rId77"/>
    <sheet name="26f" sheetId="94" r:id="rId78"/>
    <sheet name="22-25f" sheetId="95" r:id="rId79"/>
    <sheet name="21f" sheetId="78" r:id="rId80"/>
    <sheet name="20f" sheetId="75" r:id="rId81"/>
    <sheet name="19f" sheetId="70" r:id="rId82"/>
    <sheet name="18f" sheetId="55" r:id="rId83"/>
  </sheets>
  <definedNames>
    <definedName name="_xlnm._FilterDatabase" localSheetId="50" hidden="1">P.!$W$3:$W$23</definedName>
    <definedName name="_ftn1" localSheetId="76">'przec.zat.'!$B$20</definedName>
    <definedName name="_ftnref1" localSheetId="76">'przec.zat.'!$B$13</definedName>
    <definedName name="JR_PAGE_ANCHOR_0_1" localSheetId="78">'22-25f'!$A$1</definedName>
    <definedName name="page1" localSheetId="81">'19f'!$B$2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9" i="120" l="1"/>
  <c r="I18" i="120"/>
  <c r="I16" i="120"/>
  <c r="I23" i="120"/>
  <c r="I21" i="120"/>
  <c r="I20" i="120"/>
  <c r="I17" i="120"/>
  <c r="I20" i="89"/>
  <c r="I19" i="89"/>
  <c r="I18" i="89"/>
  <c r="I17" i="89"/>
  <c r="I16" i="89"/>
  <c r="D46" i="54"/>
  <c r="Q11" i="99"/>
  <c r="Q5" i="99"/>
  <c r="C25" i="61"/>
  <c r="E21" i="61"/>
  <c r="E20" i="61"/>
  <c r="E19" i="61"/>
  <c r="D31" i="120"/>
  <c r="D29" i="120"/>
  <c r="D28" i="120"/>
  <c r="D27" i="120"/>
  <c r="D26" i="120"/>
  <c r="D25" i="120"/>
  <c r="D24" i="120"/>
  <c r="D23" i="120"/>
  <c r="D22" i="120"/>
  <c r="D21" i="120"/>
  <c r="D20" i="120"/>
  <c r="D19" i="120"/>
  <c r="D18" i="120"/>
  <c r="D17" i="120"/>
  <c r="G13" i="120"/>
  <c r="N9" i="98" s="1"/>
  <c r="D17" i="89"/>
  <c r="F13" i="120"/>
  <c r="G12" i="103"/>
  <c r="G11" i="103"/>
  <c r="G10" i="103"/>
  <c r="G9" i="103"/>
  <c r="G8" i="103"/>
  <c r="G7" i="103"/>
  <c r="G6" i="103"/>
  <c r="G5" i="103"/>
  <c r="C34" i="100"/>
  <c r="C29" i="100"/>
  <c r="E31" i="100"/>
  <c r="E29" i="100"/>
  <c r="E26" i="100"/>
  <c r="C31" i="100"/>
  <c r="C26" i="100"/>
  <c r="E9" i="68"/>
  <c r="M13" i="68"/>
  <c r="N13" i="68" s="1"/>
  <c r="M11" i="68"/>
  <c r="M10" i="68"/>
  <c r="M9" i="68"/>
  <c r="M8" i="68"/>
  <c r="M7" i="68"/>
  <c r="N7" i="68" s="1"/>
  <c r="M6" i="68"/>
  <c r="M5" i="68"/>
  <c r="M4" i="68"/>
  <c r="M3" i="68"/>
  <c r="L13" i="68"/>
  <c r="L9" i="68"/>
  <c r="L10" i="68"/>
  <c r="L8" i="68"/>
  <c r="L7" i="68"/>
  <c r="L6" i="68"/>
  <c r="N6" i="68" s="1"/>
  <c r="L5" i="68"/>
  <c r="L4" i="68"/>
  <c r="N4" i="68" s="1"/>
  <c r="L3" i="68"/>
  <c r="N5" i="68"/>
  <c r="N3" i="68"/>
  <c r="N12" i="68"/>
  <c r="N11" i="68"/>
  <c r="N10" i="68"/>
  <c r="N9" i="68"/>
  <c r="J10" i="68"/>
  <c r="J9" i="68"/>
  <c r="J8" i="68"/>
  <c r="I10" i="68"/>
  <c r="I9" i="68"/>
  <c r="I8" i="68"/>
  <c r="H10" i="68"/>
  <c r="H9" i="68"/>
  <c r="E27" i="68"/>
  <c r="C24" i="68"/>
  <c r="C23" i="68"/>
  <c r="E23" i="68" s="1"/>
  <c r="C22" i="68"/>
  <c r="E22" i="68" s="1"/>
  <c r="C21" i="68"/>
  <c r="C20" i="68"/>
  <c r="E20" i="68" s="1"/>
  <c r="C19" i="68"/>
  <c r="C18" i="68"/>
  <c r="C17" i="68"/>
  <c r="C27" i="68"/>
  <c r="C25" i="68"/>
  <c r="E25" i="68" s="1"/>
  <c r="E17" i="68"/>
  <c r="E21" i="68"/>
  <c r="E19" i="68"/>
  <c r="E18" i="68"/>
  <c r="E26" i="68"/>
  <c r="E24" i="68"/>
  <c r="F11" i="68"/>
  <c r="F10" i="68"/>
  <c r="F9" i="68"/>
  <c r="F8" i="68"/>
  <c r="F7" i="68"/>
  <c r="F6" i="68"/>
  <c r="F5" i="68"/>
  <c r="J5" i="68" s="1"/>
  <c r="F4" i="68"/>
  <c r="F3" i="68"/>
  <c r="J6" i="68"/>
  <c r="J4" i="68"/>
  <c r="D13" i="68"/>
  <c r="C13" i="68"/>
  <c r="E13" i="68"/>
  <c r="D5" i="68"/>
  <c r="D4" i="68"/>
  <c r="D3" i="68"/>
  <c r="C5" i="68"/>
  <c r="C4" i="68"/>
  <c r="C3" i="68"/>
  <c r="J3" i="68"/>
  <c r="I2" i="67"/>
  <c r="H2" i="67"/>
  <c r="C25" i="102"/>
  <c r="C24" i="102"/>
  <c r="C23" i="102"/>
  <c r="C22" i="102"/>
  <c r="C21" i="102"/>
  <c r="C20" i="102"/>
  <c r="C19" i="102"/>
  <c r="C18" i="102"/>
  <c r="D13" i="102"/>
  <c r="D12" i="102"/>
  <c r="D11" i="102"/>
  <c r="D10" i="102"/>
  <c r="D9" i="102"/>
  <c r="D8" i="102"/>
  <c r="D7" i="102"/>
  <c r="D6" i="102"/>
  <c r="D5" i="102"/>
  <c r="M13" i="61"/>
  <c r="L13" i="61"/>
  <c r="K13" i="61"/>
  <c r="J13" i="61"/>
  <c r="I13" i="61"/>
  <c r="H13" i="61"/>
  <c r="G13" i="61"/>
  <c r="F13" i="61"/>
  <c r="E13" i="61"/>
  <c r="L12" i="61"/>
  <c r="K12" i="61"/>
  <c r="J12" i="61"/>
  <c r="I12" i="61"/>
  <c r="H12" i="61"/>
  <c r="G12" i="61"/>
  <c r="F12" i="61"/>
  <c r="E12" i="61"/>
  <c r="M11" i="61"/>
  <c r="L11" i="61"/>
  <c r="K11" i="61"/>
  <c r="J11" i="61"/>
  <c r="I11" i="61"/>
  <c r="H11" i="61"/>
  <c r="G11" i="61"/>
  <c r="F11" i="61"/>
  <c r="E11" i="61"/>
  <c r="M10" i="61"/>
  <c r="E24" i="61" s="1"/>
  <c r="L10" i="61"/>
  <c r="K10" i="61"/>
  <c r="J10" i="61"/>
  <c r="I10" i="61"/>
  <c r="H10" i="61"/>
  <c r="G10" i="61"/>
  <c r="F10" i="61"/>
  <c r="E10" i="61"/>
  <c r="M9" i="61"/>
  <c r="L9" i="61"/>
  <c r="K9" i="61"/>
  <c r="J9" i="61"/>
  <c r="I9" i="61"/>
  <c r="H9" i="61"/>
  <c r="G9" i="61"/>
  <c r="F9" i="61"/>
  <c r="E9" i="61"/>
  <c r="M8" i="61"/>
  <c r="D22" i="61" s="1"/>
  <c r="L8" i="61"/>
  <c r="K8" i="61"/>
  <c r="J8" i="61"/>
  <c r="I8" i="61"/>
  <c r="H8" i="61"/>
  <c r="G8" i="61"/>
  <c r="F8" i="61"/>
  <c r="E8" i="61"/>
  <c r="M7" i="61"/>
  <c r="L7" i="61"/>
  <c r="K7" i="61"/>
  <c r="J7" i="61"/>
  <c r="I7" i="61"/>
  <c r="H7" i="61"/>
  <c r="G7" i="61"/>
  <c r="F7" i="61"/>
  <c r="E7" i="61"/>
  <c r="M6" i="61"/>
  <c r="L6" i="61"/>
  <c r="K6" i="61"/>
  <c r="J6" i="61"/>
  <c r="I6" i="61"/>
  <c r="H6" i="61"/>
  <c r="G6" i="61"/>
  <c r="F6" i="61"/>
  <c r="E6" i="61"/>
  <c r="M5" i="61"/>
  <c r="L5" i="61"/>
  <c r="K5" i="61"/>
  <c r="J5" i="61"/>
  <c r="I5" i="61"/>
  <c r="H5" i="61"/>
  <c r="G5" i="61"/>
  <c r="F5" i="61"/>
  <c r="E5" i="61"/>
  <c r="D13" i="61"/>
  <c r="D12" i="61"/>
  <c r="D11" i="61"/>
  <c r="D10" i="61"/>
  <c r="D9" i="61"/>
  <c r="D8" i="61"/>
  <c r="D7" i="61"/>
  <c r="D6" i="61"/>
  <c r="D5" i="61"/>
  <c r="C13" i="61"/>
  <c r="C12" i="61"/>
  <c r="C11" i="61"/>
  <c r="C10" i="61"/>
  <c r="C24" i="61" s="1"/>
  <c r="C9" i="61"/>
  <c r="C8" i="61"/>
  <c r="C22" i="61" s="1"/>
  <c r="C7" i="61"/>
  <c r="C6" i="61"/>
  <c r="C5" i="61"/>
  <c r="L13" i="99"/>
  <c r="L12" i="99"/>
  <c r="L11" i="99"/>
  <c r="L10" i="99"/>
  <c r="L9" i="99"/>
  <c r="L8" i="99"/>
  <c r="L7" i="99"/>
  <c r="L6" i="99"/>
  <c r="L5" i="99"/>
  <c r="L4" i="99"/>
  <c r="I12" i="99"/>
  <c r="I11" i="99"/>
  <c r="I10" i="99"/>
  <c r="I9" i="99"/>
  <c r="I8" i="99"/>
  <c r="I7" i="99"/>
  <c r="I6" i="99"/>
  <c r="I5" i="99"/>
  <c r="I4" i="99"/>
  <c r="I3" i="99"/>
  <c r="L3" i="99"/>
  <c r="D13" i="99"/>
  <c r="D12" i="99"/>
  <c r="D5" i="99"/>
  <c r="C13" i="99"/>
  <c r="C12" i="99"/>
  <c r="D27" i="83"/>
  <c r="D26" i="83"/>
  <c r="D25" i="83"/>
  <c r="D24" i="83"/>
  <c r="D23" i="83"/>
  <c r="D22" i="83"/>
  <c r="D21" i="83"/>
  <c r="D20" i="83"/>
  <c r="D19" i="83"/>
  <c r="E19" i="83"/>
  <c r="E22" i="83"/>
  <c r="E21" i="83"/>
  <c r="C27" i="83"/>
  <c r="C26" i="83"/>
  <c r="C25" i="83"/>
  <c r="C24" i="83"/>
  <c r="C23" i="83"/>
  <c r="C22" i="83"/>
  <c r="C21" i="83"/>
  <c r="C20" i="83"/>
  <c r="C19" i="83"/>
  <c r="E20" i="83"/>
  <c r="E8" i="83"/>
  <c r="E7" i="83"/>
  <c r="E6" i="83"/>
  <c r="E5" i="83"/>
  <c r="E4" i="83"/>
  <c r="E3" i="83"/>
  <c r="D8" i="83"/>
  <c r="D7" i="83"/>
  <c r="D6" i="83"/>
  <c r="D5" i="83"/>
  <c r="D4" i="83"/>
  <c r="D3" i="83"/>
  <c r="C7" i="83"/>
  <c r="C6" i="83"/>
  <c r="C5" i="83"/>
  <c r="C4" i="83"/>
  <c r="C8" i="83"/>
  <c r="C3" i="83"/>
  <c r="E13" i="83"/>
  <c r="D13" i="83"/>
  <c r="C13" i="83"/>
  <c r="G30" i="87"/>
  <c r="G29" i="87"/>
  <c r="G28" i="87"/>
  <c r="G27" i="87"/>
  <c r="G26" i="87"/>
  <c r="G25" i="87"/>
  <c r="G24" i="87"/>
  <c r="G23" i="87"/>
  <c r="G22" i="87"/>
  <c r="N30" i="87"/>
  <c r="N29" i="87"/>
  <c r="N28" i="87"/>
  <c r="N27" i="87"/>
  <c r="N26" i="87"/>
  <c r="N25" i="87"/>
  <c r="N24" i="87"/>
  <c r="N23" i="87"/>
  <c r="N22" i="87"/>
  <c r="L28" i="99"/>
  <c r="I18" i="99"/>
  <c r="I23" i="99"/>
  <c r="I22" i="99"/>
  <c r="I27" i="99"/>
  <c r="O11" i="99"/>
  <c r="O10" i="99"/>
  <c r="O9" i="99"/>
  <c r="O8" i="99"/>
  <c r="O7" i="99"/>
  <c r="O6" i="99"/>
  <c r="O5" i="99"/>
  <c r="E27" i="61"/>
  <c r="E25" i="61"/>
  <c r="E23" i="61"/>
  <c r="E22" i="61"/>
  <c r="D27" i="61"/>
  <c r="D25" i="61"/>
  <c r="D24" i="61"/>
  <c r="D23" i="61"/>
  <c r="D21" i="61"/>
  <c r="D20" i="61"/>
  <c r="D19" i="61"/>
  <c r="C20" i="61"/>
  <c r="C19" i="61"/>
  <c r="C27" i="61"/>
  <c r="C23" i="61"/>
  <c r="F26" i="118"/>
  <c r="F24" i="118"/>
  <c r="F23" i="118"/>
  <c r="F22" i="118"/>
  <c r="G22" i="118" s="1"/>
  <c r="F21" i="118"/>
  <c r="F20" i="118"/>
  <c r="F19" i="118"/>
  <c r="F18" i="118"/>
  <c r="G18" i="118" s="1"/>
  <c r="E26" i="118"/>
  <c r="E25" i="118"/>
  <c r="E24" i="118"/>
  <c r="E23" i="118"/>
  <c r="E22" i="118"/>
  <c r="E21" i="118"/>
  <c r="G21" i="118" s="1"/>
  <c r="E20" i="118"/>
  <c r="E19" i="118"/>
  <c r="E18" i="118"/>
  <c r="G26" i="118"/>
  <c r="D26" i="118"/>
  <c r="D25" i="118"/>
  <c r="D24" i="118"/>
  <c r="D23" i="118"/>
  <c r="D22" i="118"/>
  <c r="D21" i="118"/>
  <c r="D20" i="118"/>
  <c r="D19" i="118"/>
  <c r="D18" i="118"/>
  <c r="C26" i="118"/>
  <c r="C25" i="118"/>
  <c r="C24" i="118"/>
  <c r="C23" i="118"/>
  <c r="C22" i="118"/>
  <c r="C21" i="118"/>
  <c r="C20" i="118"/>
  <c r="C19" i="118"/>
  <c r="C18" i="118"/>
  <c r="I24" i="118"/>
  <c r="G24" i="118"/>
  <c r="B24" i="118"/>
  <c r="G23" i="118"/>
  <c r="C13" i="102"/>
  <c r="C12" i="102"/>
  <c r="C11" i="102"/>
  <c r="C10" i="102"/>
  <c r="C9" i="102"/>
  <c r="C8" i="102"/>
  <c r="C7" i="102"/>
  <c r="C6" i="102"/>
  <c r="C5" i="102"/>
  <c r="E21" i="67"/>
  <c r="E18" i="67"/>
  <c r="G20" i="67"/>
  <c r="F13" i="68"/>
  <c r="J13" i="68"/>
  <c r="J12" i="68"/>
  <c r="J11" i="68"/>
  <c r="J7" i="68"/>
  <c r="I13" i="68"/>
  <c r="H13" i="68"/>
  <c r="R11" i="54"/>
  <c r="Q11" i="54"/>
  <c r="P11" i="54"/>
  <c r="O11" i="54"/>
  <c r="N11" i="54"/>
  <c r="R10" i="54"/>
  <c r="Q10" i="54"/>
  <c r="P10" i="54"/>
  <c r="C38" i="54" s="1"/>
  <c r="O10" i="54"/>
  <c r="N10" i="54"/>
  <c r="R9" i="54"/>
  <c r="Q9" i="54"/>
  <c r="P9" i="54"/>
  <c r="O9" i="54"/>
  <c r="N9" i="54"/>
  <c r="R8" i="54"/>
  <c r="Q8" i="54"/>
  <c r="P8" i="54"/>
  <c r="C44" i="54" s="1"/>
  <c r="O8" i="54"/>
  <c r="N8" i="54"/>
  <c r="R7" i="54"/>
  <c r="Q7" i="54"/>
  <c r="P7" i="54"/>
  <c r="O7" i="54"/>
  <c r="N7" i="54"/>
  <c r="C3" i="54" s="1"/>
  <c r="R6" i="54"/>
  <c r="Q6" i="54"/>
  <c r="P6" i="54"/>
  <c r="O6" i="54"/>
  <c r="N6" i="54"/>
  <c r="R5" i="54"/>
  <c r="Q5" i="54"/>
  <c r="P5" i="54"/>
  <c r="O5" i="54"/>
  <c r="N5" i="54"/>
  <c r="R4" i="54"/>
  <c r="Q4" i="54"/>
  <c r="P4" i="54"/>
  <c r="C40" i="54" s="1"/>
  <c r="O4" i="54"/>
  <c r="N4" i="54"/>
  <c r="R3" i="54"/>
  <c r="Q3" i="54"/>
  <c r="P3" i="54"/>
  <c r="O3" i="54"/>
  <c r="C15" i="54" s="1"/>
  <c r="N3" i="54"/>
  <c r="C45" i="54"/>
  <c r="C33" i="54"/>
  <c r="C31" i="54"/>
  <c r="C30" i="54"/>
  <c r="C22" i="54"/>
  <c r="C20" i="54"/>
  <c r="C19" i="54"/>
  <c r="C16" i="54"/>
  <c r="R11" i="98"/>
  <c r="R10" i="98"/>
  <c r="R9" i="98"/>
  <c r="R8" i="98"/>
  <c r="R7" i="98"/>
  <c r="R6" i="98"/>
  <c r="R5" i="98"/>
  <c r="R4" i="98"/>
  <c r="R3" i="98"/>
  <c r="Q11" i="98"/>
  <c r="Q10" i="98"/>
  <c r="Q9" i="98"/>
  <c r="Q8" i="98"/>
  <c r="Q7" i="98"/>
  <c r="C26" i="98" s="1"/>
  <c r="Q6" i="98"/>
  <c r="Q5" i="98"/>
  <c r="Q4" i="98"/>
  <c r="Q3" i="98"/>
  <c r="C33" i="98" s="1"/>
  <c r="P11" i="98"/>
  <c r="P10" i="98"/>
  <c r="P9" i="98"/>
  <c r="P8" i="98"/>
  <c r="P7" i="98"/>
  <c r="C40" i="98" s="1"/>
  <c r="P6" i="98"/>
  <c r="P5" i="98"/>
  <c r="C42" i="98" s="1"/>
  <c r="P4" i="98"/>
  <c r="P3" i="98"/>
  <c r="C39" i="98" s="1"/>
  <c r="C45" i="98"/>
  <c r="C43" i="98"/>
  <c r="C41" i="98"/>
  <c r="C31" i="98"/>
  <c r="C30" i="98"/>
  <c r="C29" i="98"/>
  <c r="C28" i="98"/>
  <c r="C27" i="98"/>
  <c r="K14" i="120"/>
  <c r="K13" i="120"/>
  <c r="K12" i="120"/>
  <c r="K11" i="120"/>
  <c r="K10" i="120"/>
  <c r="K9" i="120"/>
  <c r="K8" i="120"/>
  <c r="K7" i="120"/>
  <c r="K6" i="120"/>
  <c r="J14" i="120"/>
  <c r="J13" i="120"/>
  <c r="J12" i="120"/>
  <c r="J11" i="120"/>
  <c r="J10" i="120"/>
  <c r="J9" i="120"/>
  <c r="J8" i="120"/>
  <c r="J7" i="120"/>
  <c r="J6" i="120"/>
  <c r="I14" i="120"/>
  <c r="I13" i="120"/>
  <c r="I12" i="120"/>
  <c r="I11" i="120"/>
  <c r="I10" i="120"/>
  <c r="I9" i="120"/>
  <c r="I8" i="120"/>
  <c r="I7" i="120"/>
  <c r="I6" i="120"/>
  <c r="H12" i="120"/>
  <c r="G14" i="120"/>
  <c r="G12" i="120"/>
  <c r="G11" i="120"/>
  <c r="G10" i="120"/>
  <c r="G9" i="120"/>
  <c r="G8" i="120"/>
  <c r="G7" i="120"/>
  <c r="G6" i="120"/>
  <c r="F12" i="120"/>
  <c r="F11" i="120"/>
  <c r="F10" i="120"/>
  <c r="F9" i="120"/>
  <c r="F8" i="120"/>
  <c r="F7" i="120"/>
  <c r="F6" i="120"/>
  <c r="E12" i="120"/>
  <c r="E11" i="120"/>
  <c r="E10" i="120"/>
  <c r="E9" i="120"/>
  <c r="E8" i="120"/>
  <c r="E7" i="120"/>
  <c r="E6" i="120"/>
  <c r="D14" i="120"/>
  <c r="D13" i="120"/>
  <c r="D12" i="120"/>
  <c r="D11" i="120"/>
  <c r="D10" i="120"/>
  <c r="D9" i="120"/>
  <c r="D8" i="120"/>
  <c r="D7" i="120"/>
  <c r="D6" i="120"/>
  <c r="F12" i="68"/>
  <c r="N35" i="2"/>
  <c r="Q35" i="2"/>
  <c r="H8" i="120"/>
  <c r="C4" i="100"/>
  <c r="C11" i="100"/>
  <c r="I9" i="115"/>
  <c r="I9" i="114"/>
  <c r="I9" i="113"/>
  <c r="I9" i="112"/>
  <c r="I9" i="111"/>
  <c r="I9" i="116"/>
  <c r="I9" i="117"/>
  <c r="I9" i="104"/>
  <c r="I9" i="105"/>
  <c r="I9" i="106"/>
  <c r="I9" i="107"/>
  <c r="I9" i="108"/>
  <c r="I9" i="109"/>
  <c r="I9" i="110"/>
  <c r="K20" i="110" s="1"/>
  <c r="I4" i="110"/>
  <c r="K6" i="110" s="1"/>
  <c r="K4" i="104"/>
  <c r="I4" i="104"/>
  <c r="I5" i="110"/>
  <c r="D4" i="119"/>
  <c r="D17" i="97"/>
  <c r="D16" i="97"/>
  <c r="D15" i="97"/>
  <c r="D14" i="97"/>
  <c r="D13" i="97"/>
  <c r="D12" i="97"/>
  <c r="D11" i="97"/>
  <c r="F11" i="97" s="1"/>
  <c r="D4" i="97"/>
  <c r="D9" i="97"/>
  <c r="D8" i="97"/>
  <c r="D7" i="97"/>
  <c r="D6" i="97"/>
  <c r="D5" i="97"/>
  <c r="D3" i="97"/>
  <c r="E35" i="17"/>
  <c r="F35" i="17"/>
  <c r="G35" i="17"/>
  <c r="H35" i="17"/>
  <c r="E36" i="17"/>
  <c r="F36" i="17"/>
  <c r="G36" i="17"/>
  <c r="H36" i="17"/>
  <c r="E37" i="17"/>
  <c r="F37" i="17"/>
  <c r="G37" i="17"/>
  <c r="H37" i="17"/>
  <c r="E38" i="17"/>
  <c r="F38" i="17"/>
  <c r="G38" i="17"/>
  <c r="H38" i="17"/>
  <c r="G39" i="17"/>
  <c r="H39" i="17"/>
  <c r="E40" i="17"/>
  <c r="F40" i="17"/>
  <c r="G40" i="17"/>
  <c r="H40" i="17"/>
  <c r="E41" i="17"/>
  <c r="F41" i="17"/>
  <c r="G41" i="17"/>
  <c r="H41" i="17"/>
  <c r="G36" i="119"/>
  <c r="F36" i="119"/>
  <c r="E36" i="119"/>
  <c r="D36" i="119"/>
  <c r="G35" i="119"/>
  <c r="F35" i="119"/>
  <c r="E35" i="119"/>
  <c r="D35" i="119"/>
  <c r="G34" i="119"/>
  <c r="F34" i="119"/>
  <c r="E34" i="119"/>
  <c r="D34" i="119"/>
  <c r="G33" i="119"/>
  <c r="F33" i="119"/>
  <c r="E33" i="119"/>
  <c r="G32" i="119"/>
  <c r="F32" i="119"/>
  <c r="E32" i="119"/>
  <c r="D32" i="119"/>
  <c r="G31" i="119"/>
  <c r="F31" i="119"/>
  <c r="E31" i="119"/>
  <c r="D31" i="119"/>
  <c r="G30" i="119"/>
  <c r="F30" i="119"/>
  <c r="E30" i="119"/>
  <c r="D30" i="119"/>
  <c r="G29" i="119"/>
  <c r="F29" i="119"/>
  <c r="E29" i="119"/>
  <c r="D29" i="119"/>
  <c r="G28" i="119"/>
  <c r="F28" i="119"/>
  <c r="E28" i="119"/>
  <c r="D28" i="119"/>
  <c r="G27" i="119"/>
  <c r="F27" i="119"/>
  <c r="E27" i="119"/>
  <c r="D27" i="119"/>
  <c r="G26" i="119"/>
  <c r="F26" i="119"/>
  <c r="E26" i="119"/>
  <c r="D26" i="119"/>
  <c r="G25" i="119"/>
  <c r="F25" i="119"/>
  <c r="E25" i="119"/>
  <c r="D25" i="119"/>
  <c r="G24" i="119"/>
  <c r="F24" i="119"/>
  <c r="E24" i="119"/>
  <c r="D24" i="119"/>
  <c r="G23" i="119"/>
  <c r="F23" i="119"/>
  <c r="E23" i="119"/>
  <c r="D23" i="119"/>
  <c r="G22" i="119"/>
  <c r="F22" i="119"/>
  <c r="E22" i="119"/>
  <c r="D22" i="119"/>
  <c r="G21" i="119"/>
  <c r="F21" i="119"/>
  <c r="E21" i="119"/>
  <c r="D21" i="119"/>
  <c r="G20" i="119"/>
  <c r="F20" i="119"/>
  <c r="E20" i="119"/>
  <c r="D20" i="119"/>
  <c r="G19" i="119"/>
  <c r="F19" i="119"/>
  <c r="E19" i="119"/>
  <c r="D19" i="119"/>
  <c r="G18" i="119"/>
  <c r="F18" i="119"/>
  <c r="E18" i="119"/>
  <c r="D18" i="119"/>
  <c r="G17" i="119"/>
  <c r="F17" i="119"/>
  <c r="E17" i="119"/>
  <c r="D17" i="119"/>
  <c r="G16" i="119"/>
  <c r="F16" i="119"/>
  <c r="E16" i="119"/>
  <c r="D16" i="119"/>
  <c r="G15" i="119"/>
  <c r="F15" i="119"/>
  <c r="E15" i="119"/>
  <c r="D15" i="119"/>
  <c r="G14" i="119"/>
  <c r="F14" i="119"/>
  <c r="E14" i="119"/>
  <c r="D14" i="119"/>
  <c r="G13" i="119"/>
  <c r="F13" i="119"/>
  <c r="E13" i="119"/>
  <c r="D13" i="119"/>
  <c r="G12" i="119"/>
  <c r="F12" i="119"/>
  <c r="E12" i="119"/>
  <c r="D12" i="119"/>
  <c r="G11" i="119"/>
  <c r="F11" i="119"/>
  <c r="E11" i="119"/>
  <c r="D11" i="119"/>
  <c r="G10" i="119"/>
  <c r="F10" i="119"/>
  <c r="E10" i="119"/>
  <c r="D10" i="119"/>
  <c r="G9" i="119"/>
  <c r="F9" i="119"/>
  <c r="E9" i="119"/>
  <c r="D9" i="119"/>
  <c r="G8" i="119"/>
  <c r="F8" i="119"/>
  <c r="E8" i="119"/>
  <c r="D8" i="119"/>
  <c r="G7" i="119"/>
  <c r="F7" i="119"/>
  <c r="E7" i="119"/>
  <c r="D7" i="119"/>
  <c r="G6" i="119"/>
  <c r="F6" i="119"/>
  <c r="E6" i="119"/>
  <c r="D6" i="119"/>
  <c r="G5" i="119"/>
  <c r="F5" i="119"/>
  <c r="E5" i="119"/>
  <c r="D5" i="119"/>
  <c r="G4" i="119"/>
  <c r="F4" i="119"/>
  <c r="E4" i="119"/>
  <c r="R6" i="62"/>
  <c r="G10" i="87"/>
  <c r="G7" i="87"/>
  <c r="E27" i="83"/>
  <c r="E26" i="83"/>
  <c r="E25" i="83"/>
  <c r="E24" i="83"/>
  <c r="E23" i="83"/>
  <c r="L12" i="118"/>
  <c r="L11" i="118"/>
  <c r="L10" i="118"/>
  <c r="L9" i="118"/>
  <c r="L8" i="118"/>
  <c r="L7" i="118"/>
  <c r="L6" i="118"/>
  <c r="L5" i="118"/>
  <c r="L4" i="118"/>
  <c r="J12" i="118"/>
  <c r="J11" i="118"/>
  <c r="J10" i="118"/>
  <c r="J9" i="118"/>
  <c r="J8" i="118"/>
  <c r="J7" i="118"/>
  <c r="J6" i="118"/>
  <c r="J5" i="118"/>
  <c r="J4" i="118"/>
  <c r="F21" i="67" l="1"/>
  <c r="H21" i="67" s="1"/>
  <c r="N6" i="98"/>
  <c r="F9" i="97"/>
  <c r="F12" i="97"/>
  <c r="F13" i="97"/>
  <c r="F14" i="97"/>
  <c r="F15" i="97"/>
  <c r="F3" i="97"/>
  <c r="F16" i="97"/>
  <c r="F4" i="97"/>
  <c r="F17" i="97"/>
  <c r="F5" i="97"/>
  <c r="F6" i="97"/>
  <c r="F7" i="97"/>
  <c r="F8" i="97"/>
  <c r="H9" i="67"/>
  <c r="H20" i="67"/>
  <c r="H8" i="67"/>
  <c r="H6" i="67"/>
  <c r="H17" i="67"/>
  <c r="H5" i="67"/>
  <c r="H16" i="67"/>
  <c r="H4" i="67"/>
  <c r="H14" i="67"/>
  <c r="H13" i="67"/>
  <c r="H12" i="67"/>
  <c r="M12" i="61"/>
  <c r="C26" i="61" s="1"/>
  <c r="N3" i="98"/>
  <c r="C11" i="98" s="1"/>
  <c r="N4" i="98"/>
  <c r="N5" i="98"/>
  <c r="C6" i="98" s="1"/>
  <c r="N7" i="98"/>
  <c r="N8" i="98"/>
  <c r="I13" i="99"/>
  <c r="N10" i="98"/>
  <c r="N11" i="98"/>
  <c r="N8" i="68"/>
  <c r="C21" i="61"/>
  <c r="E9" i="97"/>
  <c r="Q6" i="99"/>
  <c r="Q7" i="99"/>
  <c r="Q8" i="99"/>
  <c r="Q9" i="99"/>
  <c r="Q10" i="99"/>
  <c r="G19" i="118"/>
  <c r="G20" i="118"/>
  <c r="C18" i="54"/>
  <c r="C17" i="54"/>
  <c r="C32" i="54"/>
  <c r="C41" i="54"/>
  <c r="C26" i="54"/>
  <c r="C35" i="54" s="1"/>
  <c r="C29" i="54"/>
  <c r="C39" i="54"/>
  <c r="C8" i="54"/>
  <c r="C9" i="54"/>
  <c r="C25" i="54"/>
  <c r="C5" i="54"/>
  <c r="C43" i="54"/>
  <c r="C4" i="54"/>
  <c r="C27" i="54"/>
  <c r="C28" i="54"/>
  <c r="C37" i="54"/>
  <c r="C42" i="54"/>
  <c r="C21" i="54"/>
  <c r="C14" i="54"/>
  <c r="C6" i="54"/>
  <c r="C7" i="54"/>
  <c r="C10" i="54"/>
  <c r="C11" i="54"/>
  <c r="D30" i="98"/>
  <c r="D29" i="98"/>
  <c r="C25" i="98"/>
  <c r="D28" i="98"/>
  <c r="D31" i="98"/>
  <c r="D33" i="98"/>
  <c r="C34" i="98"/>
  <c r="D26" i="98" s="1"/>
  <c r="D27" i="98"/>
  <c r="C32" i="98"/>
  <c r="C35" i="98" s="1"/>
  <c r="C37" i="98"/>
  <c r="C46" i="98"/>
  <c r="D38" i="98" s="1"/>
  <c r="C44" i="98"/>
  <c r="C38" i="98"/>
  <c r="E11" i="97"/>
  <c r="E12" i="97"/>
  <c r="E13" i="97"/>
  <c r="E14" i="97"/>
  <c r="E15" i="97"/>
  <c r="E3" i="97"/>
  <c r="E16" i="97"/>
  <c r="E4" i="97"/>
  <c r="E17" i="97"/>
  <c r="E5" i="97"/>
  <c r="E6" i="97"/>
  <c r="E7" i="97"/>
  <c r="E8" i="97"/>
  <c r="H6" i="120"/>
  <c r="E13" i="120"/>
  <c r="H11" i="120"/>
  <c r="H7" i="120"/>
  <c r="H10" i="120"/>
  <c r="E14" i="120"/>
  <c r="H9" i="120"/>
  <c r="F14" i="120"/>
  <c r="K18" i="110"/>
  <c r="K19" i="110"/>
  <c r="K22" i="110"/>
  <c r="K7" i="110"/>
  <c r="K13" i="110"/>
  <c r="K17" i="110"/>
  <c r="K21" i="110"/>
  <c r="K5" i="110"/>
  <c r="K4" i="110"/>
  <c r="K8" i="110"/>
  <c r="K23" i="110"/>
  <c r="K9" i="110"/>
  <c r="K24" i="110"/>
  <c r="K10" i="110"/>
  <c r="K11" i="110"/>
  <c r="K12" i="110"/>
  <c r="K25" i="110"/>
  <c r="K14" i="110"/>
  <c r="K15" i="110"/>
  <c r="K16" i="110"/>
  <c r="H25" i="119"/>
  <c r="E38" i="119"/>
  <c r="H42" i="119"/>
  <c r="H8" i="119"/>
  <c r="H17" i="119"/>
  <c r="H20" i="119"/>
  <c r="H23" i="119"/>
  <c r="H18" i="119"/>
  <c r="H21" i="119"/>
  <c r="H4" i="119"/>
  <c r="H7" i="119"/>
  <c r="H34" i="119"/>
  <c r="H28" i="119"/>
  <c r="F38" i="119"/>
  <c r="H29" i="119"/>
  <c r="D38" i="119"/>
  <c r="H6" i="119"/>
  <c r="H9" i="119"/>
  <c r="H15" i="119"/>
  <c r="D40" i="119"/>
  <c r="E40" i="119"/>
  <c r="F40" i="119"/>
  <c r="G40" i="119"/>
  <c r="G38" i="119"/>
  <c r="H5" i="119"/>
  <c r="I10" i="118"/>
  <c r="B10" i="118"/>
  <c r="H35" i="2"/>
  <c r="G35" i="2"/>
  <c r="F35" i="2"/>
  <c r="E35" i="2"/>
  <c r="G41" i="2"/>
  <c r="H41" i="2"/>
  <c r="H40" i="2"/>
  <c r="H39" i="2"/>
  <c r="G39" i="2"/>
  <c r="F18" i="97" l="1"/>
  <c r="G11" i="97" s="1"/>
  <c r="C3" i="98"/>
  <c r="D26" i="61"/>
  <c r="D45" i="98"/>
  <c r="H18" i="67"/>
  <c r="C10" i="98"/>
  <c r="E26" i="61"/>
  <c r="H10" i="67"/>
  <c r="H7" i="67"/>
  <c r="H11" i="67"/>
  <c r="H19" i="67"/>
  <c r="H15" i="67"/>
  <c r="C9" i="98"/>
  <c r="F10" i="97"/>
  <c r="G5" i="97" s="1"/>
  <c r="D43" i="98"/>
  <c r="D44" i="98"/>
  <c r="C8" i="98"/>
  <c r="C5" i="98"/>
  <c r="D41" i="98"/>
  <c r="D40" i="98"/>
  <c r="C4" i="98"/>
  <c r="D42" i="98"/>
  <c r="C7" i="98"/>
  <c r="D39" i="98"/>
  <c r="C34" i="54"/>
  <c r="D48" i="98"/>
  <c r="D34" i="98"/>
  <c r="C47" i="98"/>
  <c r="H14" i="120"/>
  <c r="H13" i="120"/>
  <c r="L4" i="110"/>
  <c r="L5" i="110"/>
  <c r="M4" i="110"/>
  <c r="L6" i="110"/>
  <c r="H38" i="119"/>
  <c r="H40" i="119"/>
  <c r="G10" i="81"/>
  <c r="G9" i="81"/>
  <c r="G8" i="81"/>
  <c r="G7" i="81"/>
  <c r="G6" i="81"/>
  <c r="D21" i="81"/>
  <c r="D20" i="81"/>
  <c r="D19" i="81"/>
  <c r="D18" i="81"/>
  <c r="D17" i="81"/>
  <c r="D17" i="69"/>
  <c r="D21" i="66"/>
  <c r="D19" i="66"/>
  <c r="D18" i="66"/>
  <c r="D20" i="66" s="1"/>
  <c r="D17" i="66"/>
  <c r="D21" i="65"/>
  <c r="D19" i="65"/>
  <c r="D18" i="65"/>
  <c r="D20" i="65" s="1"/>
  <c r="D17" i="65"/>
  <c r="D21" i="64"/>
  <c r="D19" i="64"/>
  <c r="D18" i="64"/>
  <c r="D20" i="64" s="1"/>
  <c r="D17" i="64"/>
  <c r="D21" i="63"/>
  <c r="D19" i="63"/>
  <c r="D18" i="63"/>
  <c r="D20" i="63" s="1"/>
  <c r="D17" i="63"/>
  <c r="D21" i="69"/>
  <c r="D20" i="69"/>
  <c r="D19" i="69"/>
  <c r="D18" i="69"/>
  <c r="D21" i="73"/>
  <c r="D20" i="73"/>
  <c r="D19" i="73"/>
  <c r="D18" i="73"/>
  <c r="D17" i="73"/>
  <c r="D21" i="76"/>
  <c r="D20" i="76"/>
  <c r="D19" i="76"/>
  <c r="D18" i="76"/>
  <c r="D17" i="76"/>
  <c r="G12" i="97" l="1"/>
  <c r="G14" i="97"/>
  <c r="G13" i="97"/>
  <c r="G15" i="97"/>
  <c r="G8" i="97"/>
  <c r="G7" i="97"/>
  <c r="G16" i="97"/>
  <c r="G18" i="97" s="1"/>
  <c r="D46" i="98"/>
  <c r="G3" i="97"/>
  <c r="G6" i="97"/>
  <c r="G4" i="97"/>
  <c r="H18" i="97"/>
  <c r="O3" i="98"/>
  <c r="I28" i="99"/>
  <c r="O11" i="98"/>
  <c r="F25" i="118"/>
  <c r="G25" i="118" s="1"/>
  <c r="O10" i="98"/>
  <c r="O9" i="98"/>
  <c r="O8" i="98"/>
  <c r="O7" i="98"/>
  <c r="O6" i="98"/>
  <c r="O5" i="98"/>
  <c r="G21" i="67"/>
  <c r="O4" i="98"/>
  <c r="I22" i="120"/>
  <c r="E19" i="113"/>
  <c r="C23" i="112"/>
  <c r="D15" i="112"/>
  <c r="A3" i="117"/>
  <c r="A3" i="116"/>
  <c r="A3" i="115"/>
  <c r="A3" i="114"/>
  <c r="A3" i="113"/>
  <c r="A3" i="112"/>
  <c r="A3" i="111"/>
  <c r="A3" i="110"/>
  <c r="A3" i="109"/>
  <c r="A3" i="108"/>
  <c r="A3" i="107"/>
  <c r="A3" i="106"/>
  <c r="A3" i="105"/>
  <c r="A3" i="104"/>
  <c r="N15" i="87"/>
  <c r="N14" i="87"/>
  <c r="N13" i="87"/>
  <c r="N12" i="87"/>
  <c r="N11" i="87"/>
  <c r="N10" i="87"/>
  <c r="N9" i="87"/>
  <c r="N8" i="87"/>
  <c r="N7" i="87"/>
  <c r="B13" i="103"/>
  <c r="B12" i="103"/>
  <c r="B11" i="103"/>
  <c r="B10" i="103"/>
  <c r="B9" i="103"/>
  <c r="B8" i="103"/>
  <c r="B7" i="103"/>
  <c r="B6" i="103"/>
  <c r="B5" i="103"/>
  <c r="F1" i="103"/>
  <c r="H5" i="68"/>
  <c r="H4" i="68"/>
  <c r="H3" i="68"/>
  <c r="L25" i="99"/>
  <c r="I25" i="99"/>
  <c r="L24" i="99"/>
  <c r="I24" i="99"/>
  <c r="L23" i="99"/>
  <c r="L22" i="99"/>
  <c r="L21" i="99"/>
  <c r="I21" i="99"/>
  <c r="L20" i="99"/>
  <c r="I20" i="99"/>
  <c r="L19" i="99"/>
  <c r="I19" i="99"/>
  <c r="L18" i="99"/>
  <c r="R2" i="98"/>
  <c r="Q2" i="98"/>
  <c r="P2" i="98"/>
  <c r="I12" i="88"/>
  <c r="J12" i="88" s="1"/>
  <c r="I11" i="88"/>
  <c r="J11" i="88" s="1"/>
  <c r="H11" i="88" s="1"/>
  <c r="I10" i="88"/>
  <c r="J10" i="88" s="1"/>
  <c r="I9" i="88"/>
  <c r="J9" i="88" s="1"/>
  <c r="I8" i="88"/>
  <c r="J8" i="88" s="1"/>
  <c r="I7" i="88"/>
  <c r="J7" i="88" s="1"/>
  <c r="I6" i="88"/>
  <c r="J6" i="88" s="1"/>
  <c r="F12" i="88"/>
  <c r="F11" i="88"/>
  <c r="F10" i="88"/>
  <c r="F9" i="88"/>
  <c r="F8" i="88"/>
  <c r="F7" i="88"/>
  <c r="F6" i="88"/>
  <c r="E11" i="88"/>
  <c r="E10" i="88"/>
  <c r="E12" i="88"/>
  <c r="E9" i="88"/>
  <c r="E8" i="88"/>
  <c r="E7" i="88"/>
  <c r="E6" i="88"/>
  <c r="D12" i="88"/>
  <c r="D11" i="88"/>
  <c r="D10" i="88"/>
  <c r="D9" i="88"/>
  <c r="D8" i="88"/>
  <c r="D7" i="88"/>
  <c r="D13" i="88" s="1"/>
  <c r="D6" i="88"/>
  <c r="I7" i="89"/>
  <c r="F12" i="89"/>
  <c r="F11" i="89"/>
  <c r="G11" i="89" s="1"/>
  <c r="F10" i="89"/>
  <c r="F9" i="89"/>
  <c r="F8" i="89"/>
  <c r="F7" i="89"/>
  <c r="G7" i="89" s="1"/>
  <c r="F6" i="89"/>
  <c r="E12" i="89"/>
  <c r="E11" i="89"/>
  <c r="E10" i="89"/>
  <c r="E9" i="89"/>
  <c r="E8" i="89"/>
  <c r="E7" i="89"/>
  <c r="E6" i="89"/>
  <c r="I12" i="89"/>
  <c r="J12" i="89" s="1"/>
  <c r="H12" i="89" s="1"/>
  <c r="F10" i="118" s="1"/>
  <c r="I11" i="89"/>
  <c r="J11" i="89" s="1"/>
  <c r="I10" i="89"/>
  <c r="J10" i="89" s="1"/>
  <c r="I9" i="89"/>
  <c r="J9" i="89" s="1"/>
  <c r="I8" i="89"/>
  <c r="J8" i="89" s="1"/>
  <c r="I6" i="89"/>
  <c r="J6" i="89" s="1"/>
  <c r="J7" i="89"/>
  <c r="D11" i="89"/>
  <c r="D10" i="89"/>
  <c r="D12" i="89"/>
  <c r="D9" i="89"/>
  <c r="D8" i="89"/>
  <c r="D7" i="89"/>
  <c r="D6" i="89"/>
  <c r="B17" i="97"/>
  <c r="B16" i="97"/>
  <c r="B15" i="97"/>
  <c r="B14" i="97"/>
  <c r="B13" i="97"/>
  <c r="B12" i="97"/>
  <c r="B11" i="97"/>
  <c r="B10" i="97"/>
  <c r="B9" i="97"/>
  <c r="B8" i="97"/>
  <c r="B7" i="97"/>
  <c r="B6" i="97"/>
  <c r="B5" i="97"/>
  <c r="B4" i="97"/>
  <c r="B3" i="97"/>
  <c r="B2" i="97"/>
  <c r="I49" i="96"/>
  <c r="I48" i="96"/>
  <c r="I47" i="96"/>
  <c r="AJ21" i="96" s="1"/>
  <c r="I46" i="96"/>
  <c r="AJ20" i="96" s="1"/>
  <c r="I45" i="96"/>
  <c r="I44" i="96"/>
  <c r="I43" i="96"/>
  <c r="AJ17" i="96" s="1"/>
  <c r="R43" i="96" s="1"/>
  <c r="I18" i="110" s="1"/>
  <c r="I41" i="96"/>
  <c r="I40" i="96"/>
  <c r="AJ15" i="96" s="1"/>
  <c r="R40" i="96" s="1"/>
  <c r="I16" i="108" s="1"/>
  <c r="I39" i="96"/>
  <c r="I38" i="96"/>
  <c r="AJ13" i="96" s="1"/>
  <c r="I37" i="96"/>
  <c r="AJ12" i="96" s="1"/>
  <c r="I36" i="96"/>
  <c r="AJ11" i="96" s="1"/>
  <c r="I35" i="96"/>
  <c r="AJ10" i="96" s="1"/>
  <c r="I33" i="96"/>
  <c r="I32" i="96"/>
  <c r="AJ8" i="96" s="1"/>
  <c r="I31" i="96"/>
  <c r="AJ7" i="96" s="1"/>
  <c r="I30" i="96"/>
  <c r="I29" i="96"/>
  <c r="I28" i="96"/>
  <c r="I27" i="96"/>
  <c r="AJ3" i="96" s="1"/>
  <c r="H49" i="96"/>
  <c r="H48" i="96"/>
  <c r="AI22" i="96" s="1"/>
  <c r="H47" i="96"/>
  <c r="H46" i="96"/>
  <c r="AI20" i="96" s="1"/>
  <c r="H45" i="96"/>
  <c r="AI19" i="96" s="1"/>
  <c r="H44" i="96"/>
  <c r="H43" i="96"/>
  <c r="H41" i="96"/>
  <c r="H40" i="96"/>
  <c r="H39" i="96"/>
  <c r="H38" i="96"/>
  <c r="AI13" i="96" s="1"/>
  <c r="Q38" i="96" s="1"/>
  <c r="H14" i="105" s="1"/>
  <c r="H37" i="96"/>
  <c r="AI12" i="96" s="1"/>
  <c r="H36" i="96"/>
  <c r="AI11" i="96" s="1"/>
  <c r="H35" i="96"/>
  <c r="H33" i="96"/>
  <c r="AI9" i="96" s="1"/>
  <c r="H32" i="96"/>
  <c r="H31" i="96"/>
  <c r="H30" i="96"/>
  <c r="H29" i="96"/>
  <c r="H28" i="96"/>
  <c r="H27" i="96"/>
  <c r="G49" i="96"/>
  <c r="G48" i="96"/>
  <c r="G47" i="96"/>
  <c r="G46" i="96"/>
  <c r="G45" i="96"/>
  <c r="AH19" i="96" s="1"/>
  <c r="P45" i="96" s="1"/>
  <c r="G44" i="96"/>
  <c r="G43" i="96"/>
  <c r="G41" i="96"/>
  <c r="AH16" i="96" s="1"/>
  <c r="P41" i="96" s="1"/>
  <c r="G17" i="106" s="1"/>
  <c r="G40" i="96"/>
  <c r="G39" i="96"/>
  <c r="G38" i="96"/>
  <c r="AH13" i="96" s="1"/>
  <c r="G37" i="96"/>
  <c r="AH12" i="96" s="1"/>
  <c r="G36" i="96"/>
  <c r="G35" i="96"/>
  <c r="AH10" i="96" s="1"/>
  <c r="P35" i="96" s="1"/>
  <c r="G11" i="107" s="1"/>
  <c r="G33" i="96"/>
  <c r="AH9" i="96" s="1"/>
  <c r="G32" i="96"/>
  <c r="G31" i="96"/>
  <c r="G30" i="96"/>
  <c r="G29" i="96"/>
  <c r="AH5" i="96" s="1"/>
  <c r="P29" i="96" s="1"/>
  <c r="G6" i="105" s="1"/>
  <c r="G28" i="96"/>
  <c r="G27" i="96"/>
  <c r="AH3" i="96" s="1"/>
  <c r="P27" i="96" s="1"/>
  <c r="G4" i="105" s="1"/>
  <c r="F49" i="96"/>
  <c r="AG23" i="96" s="1"/>
  <c r="O49" i="96" s="1"/>
  <c r="F24" i="104" s="1"/>
  <c r="F48" i="96"/>
  <c r="F47" i="96"/>
  <c r="F46" i="96"/>
  <c r="AG20" i="96" s="1"/>
  <c r="F45" i="96"/>
  <c r="F44" i="96"/>
  <c r="F43" i="96"/>
  <c r="F41" i="96"/>
  <c r="AG16" i="96" s="1"/>
  <c r="O41" i="96" s="1"/>
  <c r="F40" i="96"/>
  <c r="F39" i="96"/>
  <c r="AG14" i="96" s="1"/>
  <c r="F38" i="96"/>
  <c r="AG13" i="96" s="1"/>
  <c r="F37" i="96"/>
  <c r="AG12" i="96" s="1"/>
  <c r="F36" i="96"/>
  <c r="F35" i="96"/>
  <c r="F33" i="96"/>
  <c r="F32" i="96"/>
  <c r="AG8" i="96" s="1"/>
  <c r="F31" i="96"/>
  <c r="F30" i="96"/>
  <c r="AG6" i="96" s="1"/>
  <c r="O30" i="96" s="1"/>
  <c r="F29" i="96"/>
  <c r="F28" i="96"/>
  <c r="F27" i="96"/>
  <c r="AG3" i="96" s="1"/>
  <c r="E49" i="96"/>
  <c r="E48" i="96"/>
  <c r="E47" i="96"/>
  <c r="AF21" i="96" s="1"/>
  <c r="E46" i="96"/>
  <c r="AF20" i="96" s="1"/>
  <c r="E45" i="96"/>
  <c r="AF19" i="96" s="1"/>
  <c r="E44" i="96"/>
  <c r="E43" i="96"/>
  <c r="AF17" i="96" s="1"/>
  <c r="E41" i="96"/>
  <c r="E40" i="96"/>
  <c r="AF15" i="96" s="1"/>
  <c r="N40" i="96" s="1"/>
  <c r="E16" i="110" s="1"/>
  <c r="E39" i="96"/>
  <c r="AF14" i="96" s="1"/>
  <c r="E38" i="96"/>
  <c r="AF13" i="96" s="1"/>
  <c r="E37" i="96"/>
  <c r="AF12" i="96" s="1"/>
  <c r="E36" i="96"/>
  <c r="E35" i="96"/>
  <c r="AF10" i="96" s="1"/>
  <c r="N35" i="96" s="1"/>
  <c r="E11" i="107" s="1"/>
  <c r="E33" i="96"/>
  <c r="E32" i="96"/>
  <c r="AF8" i="96" s="1"/>
  <c r="E31" i="96"/>
  <c r="AF7" i="96" s="1"/>
  <c r="N31" i="96" s="1"/>
  <c r="E8" i="109" s="1"/>
  <c r="E30" i="96"/>
  <c r="E29" i="96"/>
  <c r="E28" i="96"/>
  <c r="AF4" i="96" s="1"/>
  <c r="N28" i="96" s="1"/>
  <c r="E5" i="109" s="1"/>
  <c r="E27" i="96"/>
  <c r="D49" i="96"/>
  <c r="D48" i="96"/>
  <c r="AE22" i="96" s="1"/>
  <c r="D47" i="96"/>
  <c r="AE21" i="96" s="1"/>
  <c r="M47" i="96" s="1"/>
  <c r="D22" i="106" s="1"/>
  <c r="D46" i="96"/>
  <c r="AE20" i="96" s="1"/>
  <c r="D45" i="96"/>
  <c r="D44" i="96"/>
  <c r="D43" i="96"/>
  <c r="D41" i="96"/>
  <c r="D40" i="96"/>
  <c r="D39" i="96"/>
  <c r="D38" i="96"/>
  <c r="D37" i="96"/>
  <c r="AE12" i="96" s="1"/>
  <c r="D36" i="96"/>
  <c r="D35" i="96"/>
  <c r="AE10" i="96" s="1"/>
  <c r="D33" i="96"/>
  <c r="AE9" i="96" s="1"/>
  <c r="M33" i="96" s="1"/>
  <c r="D32" i="96"/>
  <c r="AE8" i="96" s="1"/>
  <c r="D31" i="96"/>
  <c r="D30" i="96"/>
  <c r="AE6" i="96" s="1"/>
  <c r="D29" i="96"/>
  <c r="D28" i="96"/>
  <c r="AE4" i="96" s="1"/>
  <c r="D27" i="96"/>
  <c r="C49" i="96"/>
  <c r="C48" i="96"/>
  <c r="C47" i="96"/>
  <c r="C46" i="96"/>
  <c r="AD20" i="96" s="1"/>
  <c r="L46" i="96" s="1"/>
  <c r="C45" i="96"/>
  <c r="AD19" i="96" s="1"/>
  <c r="L45" i="96" s="1"/>
  <c r="C44" i="96"/>
  <c r="C43" i="96"/>
  <c r="C41" i="96"/>
  <c r="AD16" i="96" s="1"/>
  <c r="L41" i="96" s="1"/>
  <c r="C17" i="105" s="1"/>
  <c r="C40" i="96"/>
  <c r="C39" i="96"/>
  <c r="AD14" i="96" s="1"/>
  <c r="C38" i="96"/>
  <c r="AD13" i="96" s="1"/>
  <c r="C37" i="96"/>
  <c r="AD12" i="96" s="1"/>
  <c r="C36" i="96"/>
  <c r="C35" i="96"/>
  <c r="AD10" i="96" s="1"/>
  <c r="C33" i="96"/>
  <c r="AD9" i="96" s="1"/>
  <c r="C32" i="96"/>
  <c r="AD8" i="96" s="1"/>
  <c r="C31" i="96"/>
  <c r="C30" i="96"/>
  <c r="AD6" i="96" s="1"/>
  <c r="C29" i="96"/>
  <c r="AD5" i="96" s="1"/>
  <c r="L29" i="96" s="1"/>
  <c r="C28" i="96"/>
  <c r="AD4" i="96" s="1"/>
  <c r="C27" i="96"/>
  <c r="AD3" i="96" s="1"/>
  <c r="L27" i="96" s="1"/>
  <c r="AD11" i="96"/>
  <c r="L36" i="96" s="1"/>
  <c r="C12" i="106" s="1"/>
  <c r="AD7" i="96"/>
  <c r="L31" i="96" s="1"/>
  <c r="O5" i="96"/>
  <c r="AA23" i="96"/>
  <c r="AA22" i="96"/>
  <c r="AA21" i="96"/>
  <c r="AA20" i="96"/>
  <c r="AA46" i="96" s="1"/>
  <c r="AA19" i="96"/>
  <c r="AA18" i="96"/>
  <c r="AA17" i="96"/>
  <c r="AA16" i="96"/>
  <c r="AA15" i="96"/>
  <c r="AA14" i="96"/>
  <c r="AA13" i="96"/>
  <c r="AA12" i="96"/>
  <c r="AA11" i="96"/>
  <c r="AA10" i="96"/>
  <c r="AA35" i="96" s="1"/>
  <c r="AA9" i="96"/>
  <c r="AA33" i="96" s="1"/>
  <c r="AA8" i="96"/>
  <c r="AA7" i="96"/>
  <c r="AA6" i="96"/>
  <c r="AA5" i="96"/>
  <c r="AA4" i="96"/>
  <c r="AA3" i="96"/>
  <c r="Z23" i="96"/>
  <c r="Z22" i="96"/>
  <c r="Z21" i="96"/>
  <c r="Z20" i="96"/>
  <c r="Z19" i="96"/>
  <c r="Z18" i="96"/>
  <c r="Z17" i="96"/>
  <c r="Z16" i="96"/>
  <c r="Z41" i="96" s="1"/>
  <c r="H17" i="115" s="1"/>
  <c r="Z15" i="96"/>
  <c r="Z14" i="96"/>
  <c r="Z13" i="96"/>
  <c r="Z12" i="96"/>
  <c r="Z37" i="96" s="1"/>
  <c r="Z11" i="96"/>
  <c r="Z36" i="96" s="1"/>
  <c r="Z10" i="96"/>
  <c r="Z9" i="96"/>
  <c r="Z8" i="96"/>
  <c r="Z7" i="96"/>
  <c r="Z6" i="96"/>
  <c r="Z30" i="96" s="1"/>
  <c r="H7" i="116" s="1"/>
  <c r="Z5" i="96"/>
  <c r="Z4" i="96"/>
  <c r="Z3" i="96"/>
  <c r="Y23" i="96"/>
  <c r="Y22" i="96"/>
  <c r="Y21" i="96"/>
  <c r="Y20" i="96"/>
  <c r="Y19" i="96"/>
  <c r="Y45" i="96" s="1"/>
  <c r="Y18" i="96"/>
  <c r="Y17" i="96"/>
  <c r="Y16" i="96"/>
  <c r="Y41" i="96" s="1"/>
  <c r="Y15" i="96"/>
  <c r="Y40" i="96" s="1"/>
  <c r="G16" i="115" s="1"/>
  <c r="Y14" i="96"/>
  <c r="Y13" i="96"/>
  <c r="Y12" i="96"/>
  <c r="Y11" i="96"/>
  <c r="Y10" i="96"/>
  <c r="Y9" i="96"/>
  <c r="Y8" i="96"/>
  <c r="Y7" i="96"/>
  <c r="Y31" i="96" s="1"/>
  <c r="Y6" i="96"/>
  <c r="Y5" i="96"/>
  <c r="Y4" i="96"/>
  <c r="Y3" i="96"/>
  <c r="X23" i="96"/>
  <c r="X22" i="96"/>
  <c r="X21" i="96"/>
  <c r="X47" i="96" s="1"/>
  <c r="F22" i="117" s="1"/>
  <c r="X20" i="96"/>
  <c r="X19" i="96"/>
  <c r="X18" i="96"/>
  <c r="X17" i="96"/>
  <c r="X43" i="96" s="1"/>
  <c r="F18" i="115" s="1"/>
  <c r="X16" i="96"/>
  <c r="X15" i="96"/>
  <c r="X14" i="96"/>
  <c r="X13" i="96"/>
  <c r="X38" i="96" s="1"/>
  <c r="X12" i="96"/>
  <c r="X11" i="96"/>
  <c r="X10" i="96"/>
  <c r="X9" i="96"/>
  <c r="X8" i="96"/>
  <c r="X7" i="96"/>
  <c r="X6" i="96"/>
  <c r="X5" i="96"/>
  <c r="X4" i="96"/>
  <c r="X3" i="96"/>
  <c r="W23" i="96"/>
  <c r="W22" i="96"/>
  <c r="W21" i="96"/>
  <c r="W20" i="96"/>
  <c r="W46" i="96" s="1"/>
  <c r="W19" i="96"/>
  <c r="W45" i="96" s="1"/>
  <c r="W18" i="96"/>
  <c r="W17" i="96"/>
  <c r="W16" i="96"/>
  <c r="W15" i="96"/>
  <c r="W14" i="96"/>
  <c r="W13" i="96"/>
  <c r="W12" i="96"/>
  <c r="W11" i="96"/>
  <c r="W10" i="96"/>
  <c r="W35" i="96" s="1"/>
  <c r="E11" i="117" s="1"/>
  <c r="W9" i="96"/>
  <c r="W8" i="96"/>
  <c r="W32" i="96" s="1"/>
  <c r="E9" i="113" s="1"/>
  <c r="W7" i="96"/>
  <c r="W6" i="96"/>
  <c r="W5" i="96"/>
  <c r="W29" i="96" s="1"/>
  <c r="E6" i="113" s="1"/>
  <c r="W4" i="96"/>
  <c r="W3" i="96"/>
  <c r="W27" i="96" s="1"/>
  <c r="V23" i="96"/>
  <c r="V22" i="96"/>
  <c r="V21" i="96"/>
  <c r="V20" i="96"/>
  <c r="V19" i="96"/>
  <c r="V45" i="96" s="1"/>
  <c r="V18" i="96"/>
  <c r="V17" i="96"/>
  <c r="V16" i="96"/>
  <c r="V41" i="96" s="1"/>
  <c r="V15" i="96"/>
  <c r="V14" i="96"/>
  <c r="V13" i="96"/>
  <c r="V38" i="96" s="1"/>
  <c r="D14" i="115" s="1"/>
  <c r="V12" i="96"/>
  <c r="V37" i="96" s="1"/>
  <c r="D13" i="113" s="1"/>
  <c r="V11" i="96"/>
  <c r="V36" i="96" s="1"/>
  <c r="V10" i="96"/>
  <c r="V9" i="96"/>
  <c r="V8" i="96"/>
  <c r="V7" i="96"/>
  <c r="V6" i="96"/>
  <c r="V5" i="96"/>
  <c r="V4" i="96"/>
  <c r="V3" i="96"/>
  <c r="U23" i="96"/>
  <c r="U22" i="96"/>
  <c r="U21" i="96"/>
  <c r="U20" i="96"/>
  <c r="U19" i="96"/>
  <c r="U45" i="96" s="1"/>
  <c r="C20" i="116" s="1"/>
  <c r="U18" i="96"/>
  <c r="U17" i="96"/>
  <c r="U16" i="96"/>
  <c r="U41" i="96" s="1"/>
  <c r="U15" i="96"/>
  <c r="U14" i="96"/>
  <c r="U13" i="96"/>
  <c r="U12" i="96"/>
  <c r="U11" i="96"/>
  <c r="U10" i="96"/>
  <c r="U9" i="96"/>
  <c r="U8" i="96"/>
  <c r="U7" i="96"/>
  <c r="U31" i="96" s="1"/>
  <c r="C8" i="116" s="1"/>
  <c r="U6" i="96"/>
  <c r="U5" i="96"/>
  <c r="U4" i="96"/>
  <c r="U28" i="96" s="1"/>
  <c r="C5" i="116" s="1"/>
  <c r="U3" i="96"/>
  <c r="R23" i="96"/>
  <c r="R22" i="96"/>
  <c r="R21" i="96"/>
  <c r="R20" i="96"/>
  <c r="R19" i="96"/>
  <c r="R18" i="96"/>
  <c r="R17" i="96"/>
  <c r="AA43" i="96" s="1"/>
  <c r="I18" i="117" s="1"/>
  <c r="R16" i="96"/>
  <c r="R15" i="96"/>
  <c r="R14" i="96"/>
  <c r="R13" i="96"/>
  <c r="R12" i="96"/>
  <c r="R11" i="96"/>
  <c r="R10" i="96"/>
  <c r="R9" i="96"/>
  <c r="R8" i="96"/>
  <c r="R7" i="96"/>
  <c r="R6" i="96"/>
  <c r="R5" i="96"/>
  <c r="R4" i="96"/>
  <c r="R3" i="96"/>
  <c r="Q23" i="96"/>
  <c r="Q22" i="96"/>
  <c r="Z48" i="96" s="1"/>
  <c r="Q21" i="96"/>
  <c r="Q20" i="96"/>
  <c r="Z46" i="96" s="1"/>
  <c r="Q19" i="96"/>
  <c r="Q18" i="96"/>
  <c r="Q17" i="96"/>
  <c r="Q16" i="96"/>
  <c r="Q15" i="96"/>
  <c r="Q14" i="96"/>
  <c r="Q13" i="96"/>
  <c r="Q12" i="96"/>
  <c r="Q11" i="96"/>
  <c r="Q10" i="96"/>
  <c r="Q9" i="96"/>
  <c r="Q8" i="96"/>
  <c r="Q7" i="96"/>
  <c r="Z31" i="96" s="1"/>
  <c r="Q6" i="96"/>
  <c r="Q5" i="96"/>
  <c r="Z29" i="96" s="1"/>
  <c r="H6" i="117" s="1"/>
  <c r="Q4" i="96"/>
  <c r="Q3" i="96"/>
  <c r="P23" i="96"/>
  <c r="P22" i="96"/>
  <c r="P21" i="96"/>
  <c r="P20" i="96"/>
  <c r="P19" i="96"/>
  <c r="P18" i="96"/>
  <c r="Y44" i="96" s="1"/>
  <c r="G19" i="115" s="1"/>
  <c r="P17" i="96"/>
  <c r="P16" i="96"/>
  <c r="P15" i="96"/>
  <c r="P14" i="96"/>
  <c r="P13" i="96"/>
  <c r="Y38" i="96" s="1"/>
  <c r="G14" i="112" s="1"/>
  <c r="P12" i="96"/>
  <c r="P11" i="96"/>
  <c r="Y36" i="96" s="1"/>
  <c r="P10" i="96"/>
  <c r="P9" i="96"/>
  <c r="Y33" i="96" s="1"/>
  <c r="G10" i="113" s="1"/>
  <c r="P8" i="96"/>
  <c r="P7" i="96"/>
  <c r="P6" i="96"/>
  <c r="P5" i="96"/>
  <c r="P4" i="96"/>
  <c r="P3" i="96"/>
  <c r="O23" i="96"/>
  <c r="X49" i="96" s="1"/>
  <c r="O22" i="96"/>
  <c r="O21" i="96"/>
  <c r="O20" i="96"/>
  <c r="O19" i="96"/>
  <c r="X45" i="96" s="1"/>
  <c r="O18" i="96"/>
  <c r="X44" i="96" s="1"/>
  <c r="O17" i="96"/>
  <c r="O16" i="96"/>
  <c r="O15" i="96"/>
  <c r="X40" i="96" s="1"/>
  <c r="F16" i="115" s="1"/>
  <c r="O14" i="96"/>
  <c r="X39" i="96" s="1"/>
  <c r="O13" i="96"/>
  <c r="O12" i="96"/>
  <c r="O11" i="96"/>
  <c r="X36" i="96" s="1"/>
  <c r="O10" i="96"/>
  <c r="O9" i="96"/>
  <c r="O8" i="96"/>
  <c r="O7" i="96"/>
  <c r="X31" i="96" s="1"/>
  <c r="F8" i="115" s="1"/>
  <c r="O6" i="96"/>
  <c r="X30" i="96" s="1"/>
  <c r="F7" i="111" s="1"/>
  <c r="O4" i="96"/>
  <c r="O3" i="96"/>
  <c r="X27" i="96" s="1"/>
  <c r="N23" i="96"/>
  <c r="N22" i="96"/>
  <c r="N21" i="96"/>
  <c r="N20" i="96"/>
  <c r="N19" i="96"/>
  <c r="N18" i="96"/>
  <c r="N17" i="96"/>
  <c r="N16" i="96"/>
  <c r="N15" i="96"/>
  <c r="N14" i="96"/>
  <c r="N13" i="96"/>
  <c r="N12" i="96"/>
  <c r="N11" i="96"/>
  <c r="N10" i="96"/>
  <c r="N9" i="96"/>
  <c r="N8" i="96"/>
  <c r="N7" i="96"/>
  <c r="N6" i="96"/>
  <c r="N5" i="96"/>
  <c r="N4" i="96"/>
  <c r="N3" i="96"/>
  <c r="M23" i="96"/>
  <c r="M22" i="96"/>
  <c r="V48" i="96" s="1"/>
  <c r="M21" i="96"/>
  <c r="M20" i="96"/>
  <c r="V46" i="96" s="1"/>
  <c r="D21" i="117" s="1"/>
  <c r="M19" i="96"/>
  <c r="M18" i="96"/>
  <c r="M17" i="96"/>
  <c r="V43" i="96" s="1"/>
  <c r="D18" i="114" s="1"/>
  <c r="M16" i="96"/>
  <c r="M15" i="96"/>
  <c r="V40" i="96" s="1"/>
  <c r="M14" i="96"/>
  <c r="M13" i="96"/>
  <c r="M12" i="96"/>
  <c r="M11" i="96"/>
  <c r="M10" i="96"/>
  <c r="M9" i="96"/>
  <c r="M8" i="96"/>
  <c r="M7" i="96"/>
  <c r="M6" i="96"/>
  <c r="M5" i="96"/>
  <c r="V29" i="96" s="1"/>
  <c r="M4" i="96"/>
  <c r="M3" i="96"/>
  <c r="L23" i="96"/>
  <c r="L22" i="96"/>
  <c r="L21" i="96"/>
  <c r="L20" i="96"/>
  <c r="U46" i="96" s="1"/>
  <c r="L19" i="96"/>
  <c r="L18" i="96"/>
  <c r="L17" i="96"/>
  <c r="U43" i="96" s="1"/>
  <c r="C18" i="114" s="1"/>
  <c r="L16" i="96"/>
  <c r="L15" i="96"/>
  <c r="L14" i="96"/>
  <c r="L13" i="96"/>
  <c r="L12" i="96"/>
  <c r="U37" i="96" s="1"/>
  <c r="C13" i="115" s="1"/>
  <c r="L11" i="96"/>
  <c r="L10" i="96"/>
  <c r="L9" i="96"/>
  <c r="L8" i="96"/>
  <c r="L7" i="96"/>
  <c r="L6" i="96"/>
  <c r="L5" i="96"/>
  <c r="U29" i="96" s="1"/>
  <c r="L4" i="96"/>
  <c r="L3" i="96"/>
  <c r="I23" i="96"/>
  <c r="I22" i="96"/>
  <c r="I21" i="96"/>
  <c r="I20" i="96"/>
  <c r="I19" i="96"/>
  <c r="I18" i="96"/>
  <c r="I17" i="96"/>
  <c r="I16" i="96"/>
  <c r="I15" i="96"/>
  <c r="I14" i="96"/>
  <c r="I13" i="96"/>
  <c r="I12" i="96"/>
  <c r="I11" i="96"/>
  <c r="I10" i="96"/>
  <c r="I9" i="96"/>
  <c r="I8" i="96"/>
  <c r="I7" i="96"/>
  <c r="I6" i="96"/>
  <c r="I5" i="96"/>
  <c r="I4" i="96"/>
  <c r="I3" i="96"/>
  <c r="H23" i="96"/>
  <c r="H22" i="96"/>
  <c r="H21" i="96"/>
  <c r="H20" i="96"/>
  <c r="H19" i="96"/>
  <c r="H18" i="96"/>
  <c r="H17" i="96"/>
  <c r="H16" i="96"/>
  <c r="H15" i="96"/>
  <c r="H14" i="96"/>
  <c r="H13" i="96"/>
  <c r="H12" i="96"/>
  <c r="H11" i="96"/>
  <c r="H10" i="96"/>
  <c r="H9" i="96"/>
  <c r="H8" i="96"/>
  <c r="H7" i="96"/>
  <c r="H6" i="96"/>
  <c r="H5" i="96"/>
  <c r="H4" i="96"/>
  <c r="H3" i="96"/>
  <c r="G23" i="96"/>
  <c r="G22" i="96"/>
  <c r="G21" i="96"/>
  <c r="G20" i="96"/>
  <c r="G19" i="96"/>
  <c r="G18" i="96"/>
  <c r="G17" i="96"/>
  <c r="G16" i="96"/>
  <c r="G15" i="96"/>
  <c r="G14" i="96"/>
  <c r="G13" i="96"/>
  <c r="G12" i="96"/>
  <c r="G11" i="96"/>
  <c r="G10" i="96"/>
  <c r="G9" i="96"/>
  <c r="G8" i="96"/>
  <c r="G7" i="96"/>
  <c r="G6" i="96"/>
  <c r="G5" i="96"/>
  <c r="G4" i="96"/>
  <c r="G3" i="96"/>
  <c r="F23" i="96"/>
  <c r="F22" i="96"/>
  <c r="F21" i="96"/>
  <c r="F20" i="96"/>
  <c r="F19" i="96"/>
  <c r="F18" i="96"/>
  <c r="F17" i="96"/>
  <c r="F16" i="96"/>
  <c r="F15" i="96"/>
  <c r="F14" i="96"/>
  <c r="F13" i="96"/>
  <c r="F12" i="96"/>
  <c r="F11" i="96"/>
  <c r="F10" i="96"/>
  <c r="F9" i="96"/>
  <c r="F8" i="96"/>
  <c r="F7" i="96"/>
  <c r="F6" i="96"/>
  <c r="F5" i="96"/>
  <c r="F4" i="96"/>
  <c r="F3" i="96"/>
  <c r="E23" i="96"/>
  <c r="E22" i="96"/>
  <c r="E21" i="96"/>
  <c r="E20" i="96"/>
  <c r="E19" i="96"/>
  <c r="E18" i="96"/>
  <c r="E17" i="96"/>
  <c r="E16" i="96"/>
  <c r="E15" i="96"/>
  <c r="E14" i="96"/>
  <c r="E13" i="96"/>
  <c r="E12" i="96"/>
  <c r="E11" i="96"/>
  <c r="E10" i="96"/>
  <c r="E9" i="96"/>
  <c r="E8" i="96"/>
  <c r="E7" i="96"/>
  <c r="E6" i="96"/>
  <c r="E5" i="96"/>
  <c r="E4" i="96"/>
  <c r="E3" i="96"/>
  <c r="D23" i="96"/>
  <c r="D22" i="96"/>
  <c r="D21" i="96"/>
  <c r="D20" i="96"/>
  <c r="D19" i="96"/>
  <c r="D18" i="96"/>
  <c r="D17" i="96"/>
  <c r="D16" i="96"/>
  <c r="D15" i="96"/>
  <c r="D14" i="96"/>
  <c r="D13" i="96"/>
  <c r="D12" i="96"/>
  <c r="D11" i="96"/>
  <c r="D10" i="96"/>
  <c r="D9" i="96"/>
  <c r="D8" i="96"/>
  <c r="D7" i="96"/>
  <c r="D6" i="96"/>
  <c r="D5" i="96"/>
  <c r="D4" i="96"/>
  <c r="D3" i="96"/>
  <c r="C23" i="96"/>
  <c r="C22" i="96"/>
  <c r="C21" i="96"/>
  <c r="C20" i="96"/>
  <c r="C19" i="96"/>
  <c r="C18" i="96"/>
  <c r="C17" i="96"/>
  <c r="C16" i="96"/>
  <c r="C15" i="96"/>
  <c r="C14" i="96"/>
  <c r="C13" i="96"/>
  <c r="C12" i="96"/>
  <c r="C11" i="96"/>
  <c r="C10" i="96"/>
  <c r="C9" i="96"/>
  <c r="C8" i="96"/>
  <c r="C7" i="96"/>
  <c r="C6" i="96"/>
  <c r="C5" i="96"/>
  <c r="C4" i="96"/>
  <c r="C3" i="96"/>
  <c r="AF23" i="96"/>
  <c r="AH18" i="96"/>
  <c r="AG17" i="96"/>
  <c r="AF16" i="96"/>
  <c r="N41" i="96" s="1"/>
  <c r="E17" i="104" s="1"/>
  <c r="AG7" i="96"/>
  <c r="O31" i="96" s="1"/>
  <c r="F8" i="104" s="1"/>
  <c r="AF6" i="96"/>
  <c r="N30" i="96" s="1"/>
  <c r="E7" i="106" s="1"/>
  <c r="AG5" i="96"/>
  <c r="O29" i="96" s="1"/>
  <c r="F6" i="105" s="1"/>
  <c r="AH4" i="96"/>
  <c r="AI3" i="96"/>
  <c r="Q27" i="96" s="1"/>
  <c r="H4" i="106" s="1"/>
  <c r="AJ23" i="96"/>
  <c r="R49" i="96" s="1"/>
  <c r="I24" i="105" s="1"/>
  <c r="AI23" i="96"/>
  <c r="Q49" i="96" s="1"/>
  <c r="H24" i="106" s="1"/>
  <c r="AH23" i="96"/>
  <c r="AE23" i="96"/>
  <c r="M49" i="96" s="1"/>
  <c r="D24" i="107" s="1"/>
  <c r="AD23" i="96"/>
  <c r="AA49" i="96"/>
  <c r="I24" i="117" s="1"/>
  <c r="Z49" i="96"/>
  <c r="H24" i="117" s="1"/>
  <c r="AJ22" i="96"/>
  <c r="AH22" i="96"/>
  <c r="P48" i="96" s="1"/>
  <c r="G23" i="105" s="1"/>
  <c r="AG22" i="96"/>
  <c r="O48" i="96" s="1"/>
  <c r="F23" i="105" s="1"/>
  <c r="AF22" i="96"/>
  <c r="N48" i="96" s="1"/>
  <c r="E23" i="105" s="1"/>
  <c r="AD22" i="96"/>
  <c r="L48" i="96" s="1"/>
  <c r="C23" i="109" s="1"/>
  <c r="X48" i="96"/>
  <c r="F23" i="117" s="1"/>
  <c r="U48" i="96"/>
  <c r="C23" i="111" s="1"/>
  <c r="AI21" i="96"/>
  <c r="AH21" i="96"/>
  <c r="AG21" i="96"/>
  <c r="AD21" i="96"/>
  <c r="L47" i="96" s="1"/>
  <c r="C22" i="106" s="1"/>
  <c r="Z47" i="96"/>
  <c r="H22" i="117" s="1"/>
  <c r="W47" i="96"/>
  <c r="E22" i="117" s="1"/>
  <c r="V47" i="96"/>
  <c r="D22" i="112" s="1"/>
  <c r="U47" i="96"/>
  <c r="C22" i="116" s="1"/>
  <c r="AH20" i="96"/>
  <c r="P46" i="96" s="1"/>
  <c r="G21" i="104" s="1"/>
  <c r="AJ19" i="96"/>
  <c r="AG19" i="96"/>
  <c r="O45" i="96" s="1"/>
  <c r="F20" i="108" s="1"/>
  <c r="AE19" i="96"/>
  <c r="AA45" i="96"/>
  <c r="I20" i="117" s="1"/>
  <c r="AJ18" i="96"/>
  <c r="R44" i="96" s="1"/>
  <c r="I19" i="104" s="1"/>
  <c r="AI18" i="96"/>
  <c r="Q44" i="96" s="1"/>
  <c r="H19" i="109" s="1"/>
  <c r="AF18" i="96"/>
  <c r="N44" i="96" s="1"/>
  <c r="E19" i="110" s="1"/>
  <c r="AE18" i="96"/>
  <c r="M44" i="96" s="1"/>
  <c r="D19" i="106" s="1"/>
  <c r="AD18" i="96"/>
  <c r="AA44" i="96"/>
  <c r="I19" i="117" s="1"/>
  <c r="Z44" i="96"/>
  <c r="H19" i="116" s="1"/>
  <c r="V44" i="96"/>
  <c r="D19" i="113" s="1"/>
  <c r="W44" i="96"/>
  <c r="E19" i="114" s="1"/>
  <c r="AI17" i="96"/>
  <c r="Q43" i="96" s="1"/>
  <c r="H18" i="105" s="1"/>
  <c r="AH17" i="96"/>
  <c r="P43" i="96" s="1"/>
  <c r="G18" i="105" s="1"/>
  <c r="AE17" i="96"/>
  <c r="M43" i="96" s="1"/>
  <c r="D18" i="107" s="1"/>
  <c r="AD17" i="96"/>
  <c r="L43" i="96" s="1"/>
  <c r="C18" i="107" s="1"/>
  <c r="Y43" i="96"/>
  <c r="G18" i="116" s="1"/>
  <c r="AJ16" i="96"/>
  <c r="R41" i="96" s="1"/>
  <c r="I17" i="107" s="1"/>
  <c r="AI16" i="96"/>
  <c r="AE16" i="96"/>
  <c r="M41" i="96" s="1"/>
  <c r="D17" i="105" s="1"/>
  <c r="AA41" i="96"/>
  <c r="I17" i="117" s="1"/>
  <c r="W41" i="96"/>
  <c r="E17" i="111" s="1"/>
  <c r="AI15" i="96"/>
  <c r="Q40" i="96" s="1"/>
  <c r="H16" i="105" s="1"/>
  <c r="AH15" i="96"/>
  <c r="AG15" i="96"/>
  <c r="O40" i="96" s="1"/>
  <c r="F16" i="106" s="1"/>
  <c r="AE15" i="96"/>
  <c r="M40" i="96" s="1"/>
  <c r="D16" i="110" s="1"/>
  <c r="AD15" i="96"/>
  <c r="AA40" i="96"/>
  <c r="I16" i="116" s="1"/>
  <c r="U40" i="96"/>
  <c r="C16" i="113" s="1"/>
  <c r="AJ14" i="96"/>
  <c r="R39" i="96" s="1"/>
  <c r="I15" i="106" s="1"/>
  <c r="AI14" i="96"/>
  <c r="Q39" i="96" s="1"/>
  <c r="H15" i="106" s="1"/>
  <c r="AH14" i="96"/>
  <c r="AE14" i="96"/>
  <c r="M39" i="96" s="1"/>
  <c r="Z39" i="96"/>
  <c r="H15" i="111" s="1"/>
  <c r="W39" i="96"/>
  <c r="E15" i="115" s="1"/>
  <c r="V39" i="96"/>
  <c r="D15" i="115" s="1"/>
  <c r="AE13" i="96"/>
  <c r="M38" i="96" s="1"/>
  <c r="D14" i="106" s="1"/>
  <c r="Z38" i="96"/>
  <c r="H14" i="116" s="1"/>
  <c r="U38" i="96"/>
  <c r="C14" i="115" s="1"/>
  <c r="AH11" i="96"/>
  <c r="P36" i="96" s="1"/>
  <c r="G12" i="107" s="1"/>
  <c r="AG11" i="96"/>
  <c r="O36" i="96" s="1"/>
  <c r="F12" i="107" s="1"/>
  <c r="AF11" i="96"/>
  <c r="AE11" i="96"/>
  <c r="AA36" i="96"/>
  <c r="I12" i="117" s="1"/>
  <c r="AI10" i="96"/>
  <c r="Q35" i="96" s="1"/>
  <c r="H11" i="105" s="1"/>
  <c r="AG10" i="96"/>
  <c r="AJ9" i="96"/>
  <c r="AG9" i="96"/>
  <c r="O33" i="96" s="1"/>
  <c r="F10" i="108" s="1"/>
  <c r="AF9" i="96"/>
  <c r="W33" i="96"/>
  <c r="E10" i="116" s="1"/>
  <c r="V33" i="96"/>
  <c r="D10" i="116" s="1"/>
  <c r="AI8" i="96"/>
  <c r="AH8" i="96"/>
  <c r="P32" i="96" s="1"/>
  <c r="G9" i="107" s="1"/>
  <c r="X32" i="96"/>
  <c r="F9" i="114" s="1"/>
  <c r="AI7" i="96"/>
  <c r="Q31" i="96" s="1"/>
  <c r="H8" i="105" s="1"/>
  <c r="AH7" i="96"/>
  <c r="P31" i="96" s="1"/>
  <c r="G8" i="104" s="1"/>
  <c r="AE7" i="96"/>
  <c r="AA31" i="96"/>
  <c r="I8" i="114" s="1"/>
  <c r="AJ6" i="96"/>
  <c r="R30" i="96" s="1"/>
  <c r="I7" i="105" s="1"/>
  <c r="AI6" i="96"/>
  <c r="AH6" i="96"/>
  <c r="AA30" i="96"/>
  <c r="I7" i="112" s="1"/>
  <c r="W30" i="96"/>
  <c r="E7" i="115" s="1"/>
  <c r="AJ5" i="96"/>
  <c r="R29" i="96" s="1"/>
  <c r="I6" i="105" s="1"/>
  <c r="AI5" i="96"/>
  <c r="Q29" i="96" s="1"/>
  <c r="H6" i="105" s="1"/>
  <c r="AF5" i="96"/>
  <c r="AE5" i="96"/>
  <c r="M29" i="96" s="1"/>
  <c r="D6" i="105" s="1"/>
  <c r="Y29" i="96"/>
  <c r="G6" i="117" s="1"/>
  <c r="AJ4" i="96"/>
  <c r="R28" i="96" s="1"/>
  <c r="I5" i="107" s="1"/>
  <c r="AI4" i="96"/>
  <c r="AG4" i="96"/>
  <c r="AA28" i="96"/>
  <c r="I5" i="117" s="1"/>
  <c r="AF3" i="96"/>
  <c r="AE3" i="96"/>
  <c r="M27" i="96" s="1"/>
  <c r="D4" i="107" s="1"/>
  <c r="H49" i="28"/>
  <c r="H48" i="28"/>
  <c r="H47" i="28"/>
  <c r="H46" i="28"/>
  <c r="H45" i="28"/>
  <c r="H44" i="28"/>
  <c r="H43" i="28"/>
  <c r="H41" i="28"/>
  <c r="H40" i="28"/>
  <c r="H39" i="28"/>
  <c r="H38" i="28"/>
  <c r="H37" i="28"/>
  <c r="H36" i="28"/>
  <c r="H35" i="28"/>
  <c r="H33" i="28"/>
  <c r="H32" i="28"/>
  <c r="H31" i="28"/>
  <c r="H30" i="28"/>
  <c r="H29" i="28"/>
  <c r="H28" i="28"/>
  <c r="H27" i="28"/>
  <c r="AI3" i="28" s="1"/>
  <c r="Z23" i="28"/>
  <c r="Z22" i="28"/>
  <c r="Z21" i="28"/>
  <c r="Z20" i="28"/>
  <c r="Z19" i="28"/>
  <c r="Z18" i="28"/>
  <c r="Z17" i="28"/>
  <c r="Z16" i="28"/>
  <c r="Z15" i="28"/>
  <c r="Z14" i="28"/>
  <c r="Z13" i="28"/>
  <c r="Z12" i="28"/>
  <c r="Z11" i="28"/>
  <c r="Z10" i="28"/>
  <c r="Z9" i="28"/>
  <c r="Z8" i="28"/>
  <c r="Z7" i="28"/>
  <c r="Z6" i="28"/>
  <c r="Z5" i="28"/>
  <c r="Z4" i="28"/>
  <c r="Z3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H3" i="28"/>
  <c r="Q23" i="28"/>
  <c r="Q22" i="28"/>
  <c r="Q21" i="28"/>
  <c r="Q20" i="28"/>
  <c r="Q19" i="28"/>
  <c r="Q18" i="28"/>
  <c r="Q17" i="28"/>
  <c r="Q16" i="28"/>
  <c r="Q15" i="28"/>
  <c r="Q14" i="28"/>
  <c r="Q13" i="28"/>
  <c r="Q12" i="28"/>
  <c r="Q11" i="28"/>
  <c r="Q10" i="28"/>
  <c r="Q9" i="28"/>
  <c r="Q8" i="28"/>
  <c r="Q7" i="28"/>
  <c r="Q6" i="28"/>
  <c r="Q5" i="28"/>
  <c r="Q4" i="28"/>
  <c r="Q3" i="28"/>
  <c r="G49" i="28"/>
  <c r="G48" i="28"/>
  <c r="G47" i="28"/>
  <c r="G46" i="28"/>
  <c r="G45" i="28"/>
  <c r="G44" i="28"/>
  <c r="G43" i="28"/>
  <c r="G41" i="28"/>
  <c r="G40" i="28"/>
  <c r="G39" i="28"/>
  <c r="G38" i="28"/>
  <c r="G37" i="28"/>
  <c r="G36" i="28"/>
  <c r="G35" i="28"/>
  <c r="G33" i="28"/>
  <c r="G32" i="28"/>
  <c r="G31" i="28"/>
  <c r="G30" i="28"/>
  <c r="G29" i="28"/>
  <c r="G28" i="28"/>
  <c r="G27" i="28"/>
  <c r="AH3" i="28" s="1"/>
  <c r="P27" i="28" s="1"/>
  <c r="G23" i="28"/>
  <c r="G22" i="28"/>
  <c r="G21" i="28"/>
  <c r="G20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G4" i="28"/>
  <c r="G3" i="28"/>
  <c r="Y23" i="28"/>
  <c r="Y22" i="28"/>
  <c r="Y21" i="28"/>
  <c r="Y20" i="28"/>
  <c r="Y19" i="28"/>
  <c r="Y18" i="28"/>
  <c r="Y17" i="28"/>
  <c r="Y16" i="28"/>
  <c r="Y15" i="28"/>
  <c r="Y14" i="28"/>
  <c r="Y13" i="28"/>
  <c r="Y12" i="28"/>
  <c r="Y11" i="28"/>
  <c r="Y10" i="28"/>
  <c r="Y9" i="28"/>
  <c r="Y8" i="28"/>
  <c r="Y7" i="28"/>
  <c r="Y6" i="28"/>
  <c r="Y5" i="28"/>
  <c r="Y4" i="28"/>
  <c r="Y3" i="28"/>
  <c r="Y27" i="28" s="1"/>
  <c r="P23" i="28"/>
  <c r="P22" i="28"/>
  <c r="P21" i="28"/>
  <c r="P20" i="28"/>
  <c r="P19" i="28"/>
  <c r="P18" i="28"/>
  <c r="P17" i="28"/>
  <c r="P16" i="28"/>
  <c r="P15" i="28"/>
  <c r="P14" i="28"/>
  <c r="P13" i="28"/>
  <c r="P12" i="28"/>
  <c r="P11" i="28"/>
  <c r="P10" i="28"/>
  <c r="P9" i="28"/>
  <c r="P8" i="28"/>
  <c r="P7" i="28"/>
  <c r="P6" i="28"/>
  <c r="P5" i="28"/>
  <c r="P4" i="28"/>
  <c r="P3" i="28"/>
  <c r="E32" i="60"/>
  <c r="E29" i="60"/>
  <c r="Q41" i="2"/>
  <c r="P41" i="2"/>
  <c r="O41" i="2"/>
  <c r="N41" i="2"/>
  <c r="F41" i="2"/>
  <c r="E41" i="2"/>
  <c r="Q40" i="2"/>
  <c r="P40" i="2"/>
  <c r="O40" i="2"/>
  <c r="N40" i="2"/>
  <c r="G40" i="2"/>
  <c r="F40" i="2"/>
  <c r="E40" i="2"/>
  <c r="Q39" i="2"/>
  <c r="P39" i="2"/>
  <c r="Q38" i="2"/>
  <c r="P38" i="2"/>
  <c r="O38" i="2"/>
  <c r="N38" i="2"/>
  <c r="H38" i="2"/>
  <c r="G38" i="2"/>
  <c r="F38" i="2"/>
  <c r="E38" i="2"/>
  <c r="Q37" i="2"/>
  <c r="P37" i="2"/>
  <c r="O37" i="2"/>
  <c r="N37" i="2"/>
  <c r="H37" i="2"/>
  <c r="G37" i="2"/>
  <c r="F37" i="2"/>
  <c r="E37" i="2"/>
  <c r="Q36" i="2"/>
  <c r="P36" i="2"/>
  <c r="O36" i="2"/>
  <c r="N36" i="2"/>
  <c r="H36" i="2"/>
  <c r="G36" i="2"/>
  <c r="F36" i="2"/>
  <c r="E36" i="2"/>
  <c r="P35" i="2"/>
  <c r="O35" i="2"/>
  <c r="Q41" i="3"/>
  <c r="P41" i="3"/>
  <c r="O41" i="3"/>
  <c r="N41" i="3"/>
  <c r="H41" i="3"/>
  <c r="G41" i="3"/>
  <c r="F41" i="3"/>
  <c r="E41" i="3"/>
  <c r="Q40" i="3"/>
  <c r="P40" i="3"/>
  <c r="O40" i="3"/>
  <c r="N40" i="3"/>
  <c r="H40" i="3"/>
  <c r="G40" i="3"/>
  <c r="F40" i="3"/>
  <c r="E40" i="3"/>
  <c r="Q39" i="3"/>
  <c r="P39" i="3"/>
  <c r="H39" i="3"/>
  <c r="G39" i="3"/>
  <c r="Q38" i="3"/>
  <c r="P38" i="3"/>
  <c r="O38" i="3"/>
  <c r="N38" i="3"/>
  <c r="H38" i="3"/>
  <c r="G38" i="3"/>
  <c r="F38" i="3"/>
  <c r="E38" i="3"/>
  <c r="Q37" i="3"/>
  <c r="P37" i="3"/>
  <c r="O37" i="3"/>
  <c r="N37" i="3"/>
  <c r="H37" i="3"/>
  <c r="G37" i="3"/>
  <c r="F37" i="3"/>
  <c r="E37" i="3"/>
  <c r="Q36" i="3"/>
  <c r="P36" i="3"/>
  <c r="O36" i="3"/>
  <c r="N36" i="3"/>
  <c r="H36" i="3"/>
  <c r="G36" i="3"/>
  <c r="F36" i="3"/>
  <c r="E36" i="3"/>
  <c r="Q35" i="3"/>
  <c r="P35" i="3"/>
  <c r="O35" i="3"/>
  <c r="N35" i="3"/>
  <c r="H35" i="3"/>
  <c r="G35" i="3"/>
  <c r="F35" i="3"/>
  <c r="E35" i="3"/>
  <c r="Q41" i="4"/>
  <c r="P41" i="4"/>
  <c r="O41" i="4"/>
  <c r="N41" i="4"/>
  <c r="H41" i="4"/>
  <c r="G41" i="4"/>
  <c r="F41" i="4"/>
  <c r="E41" i="4"/>
  <c r="Q40" i="4"/>
  <c r="P40" i="4"/>
  <c r="O40" i="4"/>
  <c r="N40" i="4"/>
  <c r="H40" i="4"/>
  <c r="G40" i="4"/>
  <c r="F40" i="4"/>
  <c r="E40" i="4"/>
  <c r="Q39" i="4"/>
  <c r="P39" i="4"/>
  <c r="H39" i="4"/>
  <c r="G39" i="4"/>
  <c r="Q38" i="4"/>
  <c r="P38" i="4"/>
  <c r="O38" i="4"/>
  <c r="N38" i="4"/>
  <c r="H38" i="4"/>
  <c r="G38" i="4"/>
  <c r="F38" i="4"/>
  <c r="E38" i="4"/>
  <c r="Q37" i="4"/>
  <c r="P37" i="4"/>
  <c r="O37" i="4"/>
  <c r="N37" i="4"/>
  <c r="H37" i="4"/>
  <c r="G37" i="4"/>
  <c r="F37" i="4"/>
  <c r="E37" i="4"/>
  <c r="Q36" i="4"/>
  <c r="P36" i="4"/>
  <c r="O36" i="4"/>
  <c r="N36" i="4"/>
  <c r="H36" i="4"/>
  <c r="G36" i="4"/>
  <c r="F36" i="4"/>
  <c r="E36" i="4"/>
  <c r="Q35" i="4"/>
  <c r="E7" i="100" s="1"/>
  <c r="P35" i="4"/>
  <c r="C7" i="100" s="1"/>
  <c r="O35" i="4"/>
  <c r="N35" i="4"/>
  <c r="H35" i="4"/>
  <c r="G35" i="4"/>
  <c r="F35" i="4"/>
  <c r="E35" i="4"/>
  <c r="Q41" i="5"/>
  <c r="P41" i="5"/>
  <c r="O41" i="5"/>
  <c r="N41" i="5"/>
  <c r="H41" i="5"/>
  <c r="G41" i="5"/>
  <c r="F41" i="5"/>
  <c r="E41" i="5"/>
  <c r="Q40" i="5"/>
  <c r="P40" i="5"/>
  <c r="O40" i="5"/>
  <c r="N40" i="5"/>
  <c r="H40" i="5"/>
  <c r="G40" i="5"/>
  <c r="F40" i="5"/>
  <c r="E40" i="5"/>
  <c r="Q39" i="5"/>
  <c r="P39" i="5"/>
  <c r="H39" i="5"/>
  <c r="G39" i="5"/>
  <c r="Q38" i="5"/>
  <c r="P38" i="5"/>
  <c r="O38" i="5"/>
  <c r="N38" i="5"/>
  <c r="H38" i="5"/>
  <c r="G38" i="5"/>
  <c r="F38" i="5"/>
  <c r="E38" i="5"/>
  <c r="Q37" i="5"/>
  <c r="P37" i="5"/>
  <c r="O37" i="5"/>
  <c r="N37" i="5"/>
  <c r="H37" i="5"/>
  <c r="G37" i="5"/>
  <c r="F37" i="5"/>
  <c r="E37" i="5"/>
  <c r="Q36" i="5"/>
  <c r="P36" i="5"/>
  <c r="O36" i="5"/>
  <c r="N36" i="5"/>
  <c r="H36" i="5"/>
  <c r="G36" i="5"/>
  <c r="F36" i="5"/>
  <c r="E36" i="5"/>
  <c r="Q35" i="5"/>
  <c r="P35" i="5"/>
  <c r="O35" i="5"/>
  <c r="N35" i="5"/>
  <c r="H35" i="5"/>
  <c r="G35" i="5"/>
  <c r="F35" i="5"/>
  <c r="E35" i="5"/>
  <c r="Q41" i="6"/>
  <c r="P41" i="6"/>
  <c r="O41" i="6"/>
  <c r="N41" i="6"/>
  <c r="H41" i="6"/>
  <c r="G41" i="6"/>
  <c r="F41" i="6"/>
  <c r="E41" i="6"/>
  <c r="Q40" i="6"/>
  <c r="P40" i="6"/>
  <c r="O40" i="6"/>
  <c r="N40" i="6"/>
  <c r="H40" i="6"/>
  <c r="G40" i="6"/>
  <c r="F40" i="6"/>
  <c r="E40" i="6"/>
  <c r="Q39" i="6"/>
  <c r="P39" i="6"/>
  <c r="H39" i="6"/>
  <c r="G39" i="6"/>
  <c r="Q38" i="6"/>
  <c r="P38" i="6"/>
  <c r="O38" i="6"/>
  <c r="N38" i="6"/>
  <c r="H38" i="6"/>
  <c r="G38" i="6"/>
  <c r="F38" i="6"/>
  <c r="E38" i="6"/>
  <c r="Q37" i="6"/>
  <c r="P37" i="6"/>
  <c r="O37" i="6"/>
  <c r="N37" i="6"/>
  <c r="H37" i="6"/>
  <c r="G37" i="6"/>
  <c r="F37" i="6"/>
  <c r="E37" i="6"/>
  <c r="Q36" i="6"/>
  <c r="P36" i="6"/>
  <c r="O36" i="6"/>
  <c r="N36" i="6"/>
  <c r="H36" i="6"/>
  <c r="G36" i="6"/>
  <c r="F36" i="6"/>
  <c r="E36" i="6"/>
  <c r="Q35" i="6"/>
  <c r="E9" i="100" s="1"/>
  <c r="P35" i="6"/>
  <c r="C9" i="100" s="1"/>
  <c r="O35" i="6"/>
  <c r="N35" i="6"/>
  <c r="H35" i="6"/>
  <c r="G35" i="6"/>
  <c r="F35" i="6"/>
  <c r="E35" i="6"/>
  <c r="Q41" i="7"/>
  <c r="P41" i="7"/>
  <c r="O41" i="7"/>
  <c r="N41" i="7"/>
  <c r="H41" i="7"/>
  <c r="G41" i="7"/>
  <c r="F41" i="7"/>
  <c r="E41" i="7"/>
  <c r="Q40" i="7"/>
  <c r="P40" i="7"/>
  <c r="O40" i="7"/>
  <c r="N40" i="7"/>
  <c r="H40" i="7"/>
  <c r="G40" i="7"/>
  <c r="F40" i="7"/>
  <c r="E40" i="7"/>
  <c r="Q39" i="7"/>
  <c r="P39" i="7"/>
  <c r="H39" i="7"/>
  <c r="G39" i="7"/>
  <c r="Q38" i="7"/>
  <c r="P38" i="7"/>
  <c r="O38" i="7"/>
  <c r="N38" i="7"/>
  <c r="H38" i="7"/>
  <c r="G38" i="7"/>
  <c r="F38" i="7"/>
  <c r="E38" i="7"/>
  <c r="Q37" i="7"/>
  <c r="P37" i="7"/>
  <c r="O37" i="7"/>
  <c r="N37" i="7"/>
  <c r="H37" i="7"/>
  <c r="G37" i="7"/>
  <c r="F37" i="7"/>
  <c r="E37" i="7"/>
  <c r="Q36" i="7"/>
  <c r="P36" i="7"/>
  <c r="O36" i="7"/>
  <c r="N36" i="7"/>
  <c r="H36" i="7"/>
  <c r="G36" i="7"/>
  <c r="F36" i="7"/>
  <c r="E36" i="7"/>
  <c r="Q35" i="7"/>
  <c r="E10" i="100" s="1"/>
  <c r="P35" i="7"/>
  <c r="O35" i="7"/>
  <c r="N35" i="7"/>
  <c r="H35" i="7"/>
  <c r="G35" i="7"/>
  <c r="F35" i="7"/>
  <c r="E35" i="7"/>
  <c r="Q41" i="8"/>
  <c r="P41" i="8"/>
  <c r="O41" i="8"/>
  <c r="N41" i="8"/>
  <c r="H41" i="8"/>
  <c r="G41" i="8"/>
  <c r="F41" i="8"/>
  <c r="E41" i="8"/>
  <c r="Q40" i="8"/>
  <c r="P40" i="8"/>
  <c r="O40" i="8"/>
  <c r="N40" i="8"/>
  <c r="H40" i="8"/>
  <c r="G40" i="8"/>
  <c r="F40" i="8"/>
  <c r="E40" i="8"/>
  <c r="Q39" i="8"/>
  <c r="P39" i="8"/>
  <c r="H39" i="8"/>
  <c r="G39" i="8"/>
  <c r="Q38" i="8"/>
  <c r="P38" i="8"/>
  <c r="O38" i="8"/>
  <c r="N38" i="8"/>
  <c r="H38" i="8"/>
  <c r="G38" i="8"/>
  <c r="F38" i="8"/>
  <c r="E38" i="8"/>
  <c r="Q37" i="8"/>
  <c r="P37" i="8"/>
  <c r="O37" i="8"/>
  <c r="N37" i="8"/>
  <c r="H37" i="8"/>
  <c r="G37" i="8"/>
  <c r="F37" i="8"/>
  <c r="E37" i="8"/>
  <c r="Q36" i="8"/>
  <c r="P36" i="8"/>
  <c r="O36" i="8"/>
  <c r="N36" i="8"/>
  <c r="H36" i="8"/>
  <c r="G36" i="8"/>
  <c r="F36" i="8"/>
  <c r="E36" i="8"/>
  <c r="Q35" i="8"/>
  <c r="E11" i="100" s="1"/>
  <c r="P35" i="8"/>
  <c r="O35" i="8"/>
  <c r="N35" i="8"/>
  <c r="H35" i="8"/>
  <c r="G35" i="8"/>
  <c r="F35" i="8"/>
  <c r="E35" i="8"/>
  <c r="Q41" i="9"/>
  <c r="P41" i="9"/>
  <c r="O41" i="9"/>
  <c r="N41" i="9"/>
  <c r="H41" i="9"/>
  <c r="G41" i="9"/>
  <c r="F41" i="9"/>
  <c r="E41" i="9"/>
  <c r="Q40" i="9"/>
  <c r="P40" i="9"/>
  <c r="O40" i="9"/>
  <c r="N40" i="9"/>
  <c r="H40" i="9"/>
  <c r="G40" i="9"/>
  <c r="F40" i="9"/>
  <c r="E40" i="9"/>
  <c r="Q39" i="9"/>
  <c r="P39" i="9"/>
  <c r="H39" i="9"/>
  <c r="G39" i="9"/>
  <c r="Q38" i="9"/>
  <c r="P38" i="9"/>
  <c r="O38" i="9"/>
  <c r="N38" i="9"/>
  <c r="H38" i="9"/>
  <c r="G38" i="9"/>
  <c r="F38" i="9"/>
  <c r="E38" i="9"/>
  <c r="Q37" i="9"/>
  <c r="P37" i="9"/>
  <c r="O37" i="9"/>
  <c r="N37" i="9"/>
  <c r="H37" i="9"/>
  <c r="G37" i="9"/>
  <c r="F37" i="9"/>
  <c r="E37" i="9"/>
  <c r="Q36" i="9"/>
  <c r="P36" i="9"/>
  <c r="O36" i="9"/>
  <c r="N36" i="9"/>
  <c r="H36" i="9"/>
  <c r="G36" i="9"/>
  <c r="F36" i="9"/>
  <c r="E36" i="9"/>
  <c r="Q35" i="9"/>
  <c r="P35" i="9"/>
  <c r="C13" i="100" s="1"/>
  <c r="O35" i="9"/>
  <c r="N35" i="9"/>
  <c r="H35" i="9"/>
  <c r="G35" i="9"/>
  <c r="F35" i="9"/>
  <c r="E35" i="9"/>
  <c r="Q41" i="10"/>
  <c r="P41" i="10"/>
  <c r="O41" i="10"/>
  <c r="N41" i="10"/>
  <c r="H41" i="10"/>
  <c r="G41" i="10"/>
  <c r="F41" i="10"/>
  <c r="E41" i="10"/>
  <c r="Q40" i="10"/>
  <c r="P40" i="10"/>
  <c r="O40" i="10"/>
  <c r="N40" i="10"/>
  <c r="H40" i="10"/>
  <c r="G40" i="10"/>
  <c r="F40" i="10"/>
  <c r="E40" i="10"/>
  <c r="Q39" i="10"/>
  <c r="P39" i="10"/>
  <c r="H39" i="10"/>
  <c r="G39" i="10"/>
  <c r="Q38" i="10"/>
  <c r="P38" i="10"/>
  <c r="O38" i="10"/>
  <c r="N38" i="10"/>
  <c r="H38" i="10"/>
  <c r="G38" i="10"/>
  <c r="F38" i="10"/>
  <c r="E38" i="10"/>
  <c r="Q37" i="10"/>
  <c r="P37" i="10"/>
  <c r="O37" i="10"/>
  <c r="N37" i="10"/>
  <c r="H37" i="10"/>
  <c r="G37" i="10"/>
  <c r="F37" i="10"/>
  <c r="E37" i="10"/>
  <c r="Q36" i="10"/>
  <c r="P36" i="10"/>
  <c r="O36" i="10"/>
  <c r="N36" i="10"/>
  <c r="H36" i="10"/>
  <c r="G36" i="10"/>
  <c r="F36" i="10"/>
  <c r="E36" i="10"/>
  <c r="Q35" i="10"/>
  <c r="P35" i="10"/>
  <c r="O35" i="10"/>
  <c r="N35" i="10"/>
  <c r="H35" i="10"/>
  <c r="G35" i="10"/>
  <c r="F35" i="10"/>
  <c r="E35" i="10"/>
  <c r="Q41" i="11"/>
  <c r="P41" i="11"/>
  <c r="O41" i="11"/>
  <c r="N41" i="11"/>
  <c r="H41" i="11"/>
  <c r="G41" i="11"/>
  <c r="F41" i="11"/>
  <c r="E41" i="11"/>
  <c r="Q40" i="11"/>
  <c r="P40" i="11"/>
  <c r="O40" i="11"/>
  <c r="N40" i="11"/>
  <c r="H40" i="11"/>
  <c r="G40" i="11"/>
  <c r="F40" i="11"/>
  <c r="E40" i="11"/>
  <c r="Q39" i="11"/>
  <c r="P39" i="11"/>
  <c r="H39" i="11"/>
  <c r="G39" i="11"/>
  <c r="Q38" i="11"/>
  <c r="P38" i="11"/>
  <c r="O38" i="11"/>
  <c r="N38" i="11"/>
  <c r="H38" i="11"/>
  <c r="G38" i="11"/>
  <c r="F38" i="11"/>
  <c r="E38" i="11"/>
  <c r="Q37" i="11"/>
  <c r="P37" i="11"/>
  <c r="O37" i="11"/>
  <c r="N37" i="11"/>
  <c r="H37" i="11"/>
  <c r="G37" i="11"/>
  <c r="F37" i="11"/>
  <c r="E37" i="11"/>
  <c r="Q36" i="11"/>
  <c r="P36" i="11"/>
  <c r="O36" i="11"/>
  <c r="N36" i="11"/>
  <c r="H36" i="11"/>
  <c r="G36" i="11"/>
  <c r="F36" i="11"/>
  <c r="E36" i="11"/>
  <c r="Q35" i="11"/>
  <c r="P35" i="11"/>
  <c r="C15" i="100" s="1"/>
  <c r="O35" i="11"/>
  <c r="N35" i="11"/>
  <c r="H35" i="11"/>
  <c r="G35" i="11"/>
  <c r="F35" i="11"/>
  <c r="E35" i="11"/>
  <c r="Q41" i="12"/>
  <c r="P41" i="12"/>
  <c r="O41" i="12"/>
  <c r="N41" i="12"/>
  <c r="H41" i="12"/>
  <c r="G41" i="12"/>
  <c r="F41" i="12"/>
  <c r="E41" i="12"/>
  <c r="Q40" i="12"/>
  <c r="P40" i="12"/>
  <c r="O40" i="12"/>
  <c r="N40" i="12"/>
  <c r="H40" i="12"/>
  <c r="G40" i="12"/>
  <c r="F40" i="12"/>
  <c r="E40" i="12"/>
  <c r="Q39" i="12"/>
  <c r="P39" i="12"/>
  <c r="H39" i="12"/>
  <c r="G39" i="12"/>
  <c r="Q38" i="12"/>
  <c r="P38" i="12"/>
  <c r="O38" i="12"/>
  <c r="N38" i="12"/>
  <c r="H38" i="12"/>
  <c r="G38" i="12"/>
  <c r="F38" i="12"/>
  <c r="E38" i="12"/>
  <c r="Q37" i="12"/>
  <c r="P37" i="12"/>
  <c r="O37" i="12"/>
  <c r="N37" i="12"/>
  <c r="H37" i="12"/>
  <c r="G37" i="12"/>
  <c r="F37" i="12"/>
  <c r="E37" i="12"/>
  <c r="Q36" i="12"/>
  <c r="P36" i="12"/>
  <c r="O36" i="12"/>
  <c r="N36" i="12"/>
  <c r="H36" i="12"/>
  <c r="G36" i="12"/>
  <c r="F36" i="12"/>
  <c r="E36" i="12"/>
  <c r="Q35" i="12"/>
  <c r="P35" i="12"/>
  <c r="C16" i="100" s="1"/>
  <c r="O35" i="12"/>
  <c r="N35" i="12"/>
  <c r="H35" i="12"/>
  <c r="G35" i="12"/>
  <c r="F35" i="12"/>
  <c r="E35" i="12"/>
  <c r="Q41" i="13"/>
  <c r="P41" i="13"/>
  <c r="O41" i="13"/>
  <c r="N41" i="13"/>
  <c r="H41" i="13"/>
  <c r="G41" i="13"/>
  <c r="F41" i="13"/>
  <c r="E41" i="13"/>
  <c r="Q40" i="13"/>
  <c r="P40" i="13"/>
  <c r="O40" i="13"/>
  <c r="N40" i="13"/>
  <c r="H40" i="13"/>
  <c r="G40" i="13"/>
  <c r="F40" i="13"/>
  <c r="E40" i="13"/>
  <c r="Q39" i="13"/>
  <c r="P39" i="13"/>
  <c r="H39" i="13"/>
  <c r="G39" i="13"/>
  <c r="Q38" i="13"/>
  <c r="P38" i="13"/>
  <c r="O38" i="13"/>
  <c r="N38" i="13"/>
  <c r="H38" i="13"/>
  <c r="G38" i="13"/>
  <c r="F38" i="13"/>
  <c r="E38" i="13"/>
  <c r="Q37" i="13"/>
  <c r="P37" i="13"/>
  <c r="O37" i="13"/>
  <c r="N37" i="13"/>
  <c r="H37" i="13"/>
  <c r="G37" i="13"/>
  <c r="F37" i="13"/>
  <c r="E37" i="13"/>
  <c r="Q36" i="13"/>
  <c r="P36" i="13"/>
  <c r="O36" i="13"/>
  <c r="N36" i="13"/>
  <c r="H36" i="13"/>
  <c r="G36" i="13"/>
  <c r="F36" i="13"/>
  <c r="E36" i="13"/>
  <c r="Q35" i="13"/>
  <c r="P35" i="13"/>
  <c r="C17" i="100" s="1"/>
  <c r="O35" i="13"/>
  <c r="N35" i="13"/>
  <c r="H35" i="13"/>
  <c r="G35" i="13"/>
  <c r="F35" i="13"/>
  <c r="E35" i="13"/>
  <c r="Q41" i="15"/>
  <c r="P41" i="15"/>
  <c r="O41" i="15"/>
  <c r="N41" i="15"/>
  <c r="H41" i="15"/>
  <c r="G41" i="15"/>
  <c r="F41" i="15"/>
  <c r="E41" i="15"/>
  <c r="Q40" i="15"/>
  <c r="P40" i="15"/>
  <c r="O40" i="15"/>
  <c r="N40" i="15"/>
  <c r="H40" i="15"/>
  <c r="G40" i="15"/>
  <c r="F40" i="15"/>
  <c r="E40" i="15"/>
  <c r="Q39" i="15"/>
  <c r="P39" i="15"/>
  <c r="H39" i="15"/>
  <c r="G39" i="15"/>
  <c r="Q38" i="15"/>
  <c r="P38" i="15"/>
  <c r="O38" i="15"/>
  <c r="N38" i="15"/>
  <c r="H38" i="15"/>
  <c r="G38" i="15"/>
  <c r="F38" i="15"/>
  <c r="E38" i="15"/>
  <c r="Q37" i="15"/>
  <c r="P37" i="15"/>
  <c r="O37" i="15"/>
  <c r="N37" i="15"/>
  <c r="H37" i="15"/>
  <c r="G37" i="15"/>
  <c r="F37" i="15"/>
  <c r="E37" i="15"/>
  <c r="Q36" i="15"/>
  <c r="P36" i="15"/>
  <c r="O36" i="15"/>
  <c r="N36" i="15"/>
  <c r="H36" i="15"/>
  <c r="G36" i="15"/>
  <c r="F36" i="15"/>
  <c r="E36" i="15"/>
  <c r="Q35" i="15"/>
  <c r="E19" i="100" s="1"/>
  <c r="P35" i="15"/>
  <c r="O35" i="15"/>
  <c r="N35" i="15"/>
  <c r="H35" i="15"/>
  <c r="G35" i="15"/>
  <c r="F35" i="15"/>
  <c r="E35" i="15"/>
  <c r="Q41" i="16"/>
  <c r="P41" i="16"/>
  <c r="O41" i="16"/>
  <c r="N41" i="16"/>
  <c r="H41" i="16"/>
  <c r="G41" i="16"/>
  <c r="F41" i="16"/>
  <c r="E41" i="16"/>
  <c r="Q40" i="16"/>
  <c r="P40" i="16"/>
  <c r="O40" i="16"/>
  <c r="N40" i="16"/>
  <c r="H40" i="16"/>
  <c r="G40" i="16"/>
  <c r="F40" i="16"/>
  <c r="E40" i="16"/>
  <c r="Q39" i="16"/>
  <c r="P39" i="16"/>
  <c r="H39" i="16"/>
  <c r="G39" i="16"/>
  <c r="Q38" i="16"/>
  <c r="P38" i="16"/>
  <c r="O38" i="16"/>
  <c r="N38" i="16"/>
  <c r="H38" i="16"/>
  <c r="G38" i="16"/>
  <c r="F38" i="16"/>
  <c r="E38" i="16"/>
  <c r="Q37" i="16"/>
  <c r="P37" i="16"/>
  <c r="O37" i="16"/>
  <c r="N37" i="16"/>
  <c r="H37" i="16"/>
  <c r="G37" i="16"/>
  <c r="F37" i="16"/>
  <c r="E37" i="16"/>
  <c r="Q36" i="16"/>
  <c r="P36" i="16"/>
  <c r="O36" i="16"/>
  <c r="N36" i="16"/>
  <c r="H36" i="16"/>
  <c r="G36" i="16"/>
  <c r="F36" i="16"/>
  <c r="E36" i="16"/>
  <c r="Q35" i="16"/>
  <c r="E20" i="100" s="1"/>
  <c r="P35" i="16"/>
  <c r="C20" i="100" s="1"/>
  <c r="O35" i="16"/>
  <c r="N35" i="16"/>
  <c r="H35" i="16"/>
  <c r="G35" i="16"/>
  <c r="F35" i="16"/>
  <c r="E35" i="16"/>
  <c r="Q41" i="18"/>
  <c r="P41" i="18"/>
  <c r="O41" i="18"/>
  <c r="N41" i="18"/>
  <c r="H41" i="18"/>
  <c r="G41" i="18"/>
  <c r="F41" i="18"/>
  <c r="E41" i="18"/>
  <c r="Q40" i="18"/>
  <c r="P40" i="18"/>
  <c r="O40" i="18"/>
  <c r="N40" i="18"/>
  <c r="H40" i="18"/>
  <c r="G40" i="18"/>
  <c r="F40" i="18"/>
  <c r="E40" i="18"/>
  <c r="Q39" i="18"/>
  <c r="P39" i="18"/>
  <c r="H39" i="18"/>
  <c r="G39" i="18"/>
  <c r="Q38" i="18"/>
  <c r="P38" i="18"/>
  <c r="O38" i="18"/>
  <c r="N38" i="18"/>
  <c r="H38" i="18"/>
  <c r="G38" i="18"/>
  <c r="F38" i="18"/>
  <c r="E38" i="18"/>
  <c r="Q37" i="18"/>
  <c r="P37" i="18"/>
  <c r="O37" i="18"/>
  <c r="N37" i="18"/>
  <c r="H37" i="18"/>
  <c r="G37" i="18"/>
  <c r="F37" i="18"/>
  <c r="E37" i="18"/>
  <c r="Q36" i="18"/>
  <c r="P36" i="18"/>
  <c r="O36" i="18"/>
  <c r="N36" i="18"/>
  <c r="H36" i="18"/>
  <c r="G36" i="18"/>
  <c r="F36" i="18"/>
  <c r="E36" i="18"/>
  <c r="Q35" i="18"/>
  <c r="E22" i="100" s="1"/>
  <c r="P35" i="18"/>
  <c r="C22" i="100" s="1"/>
  <c r="O35" i="18"/>
  <c r="N35" i="18"/>
  <c r="H35" i="18"/>
  <c r="G35" i="18"/>
  <c r="F35" i="18"/>
  <c r="E35" i="18"/>
  <c r="Q41" i="19"/>
  <c r="P41" i="19"/>
  <c r="O41" i="19"/>
  <c r="N41" i="19"/>
  <c r="H41" i="19"/>
  <c r="G41" i="19"/>
  <c r="F41" i="19"/>
  <c r="E41" i="19"/>
  <c r="Q40" i="19"/>
  <c r="P40" i="19"/>
  <c r="O40" i="19"/>
  <c r="N40" i="19"/>
  <c r="H40" i="19"/>
  <c r="G40" i="19"/>
  <c r="F40" i="19"/>
  <c r="E40" i="19"/>
  <c r="Q39" i="19"/>
  <c r="P39" i="19"/>
  <c r="H39" i="19"/>
  <c r="G39" i="19"/>
  <c r="Q38" i="19"/>
  <c r="P38" i="19"/>
  <c r="O38" i="19"/>
  <c r="N38" i="19"/>
  <c r="H38" i="19"/>
  <c r="G38" i="19"/>
  <c r="F38" i="19"/>
  <c r="E38" i="19"/>
  <c r="Q37" i="19"/>
  <c r="P37" i="19"/>
  <c r="O37" i="19"/>
  <c r="N37" i="19"/>
  <c r="H37" i="19"/>
  <c r="G37" i="19"/>
  <c r="F37" i="19"/>
  <c r="E37" i="19"/>
  <c r="Q36" i="19"/>
  <c r="P36" i="19"/>
  <c r="O36" i="19"/>
  <c r="N36" i="19"/>
  <c r="H36" i="19"/>
  <c r="G36" i="19"/>
  <c r="F36" i="19"/>
  <c r="E36" i="19"/>
  <c r="Q35" i="19"/>
  <c r="E23" i="100" s="1"/>
  <c r="P35" i="19"/>
  <c r="C23" i="100" s="1"/>
  <c r="O35" i="19"/>
  <c r="N35" i="19"/>
  <c r="H35" i="19"/>
  <c r="G35" i="19"/>
  <c r="F35" i="19"/>
  <c r="E35" i="19"/>
  <c r="Q41" i="20"/>
  <c r="P41" i="20"/>
  <c r="O41" i="20"/>
  <c r="N41" i="20"/>
  <c r="H41" i="20"/>
  <c r="G41" i="20"/>
  <c r="F41" i="20"/>
  <c r="E41" i="20"/>
  <c r="Q40" i="20"/>
  <c r="P40" i="20"/>
  <c r="O40" i="20"/>
  <c r="N40" i="20"/>
  <c r="H40" i="20"/>
  <c r="G40" i="20"/>
  <c r="F40" i="20"/>
  <c r="E40" i="20"/>
  <c r="Q39" i="20"/>
  <c r="P39" i="20"/>
  <c r="H39" i="20"/>
  <c r="G39" i="20"/>
  <c r="Q38" i="20"/>
  <c r="P38" i="20"/>
  <c r="O38" i="20"/>
  <c r="N38" i="20"/>
  <c r="H38" i="20"/>
  <c r="G38" i="20"/>
  <c r="F38" i="20"/>
  <c r="E38" i="20"/>
  <c r="Q37" i="20"/>
  <c r="P37" i="20"/>
  <c r="O37" i="20"/>
  <c r="N37" i="20"/>
  <c r="H37" i="20"/>
  <c r="G37" i="20"/>
  <c r="F37" i="20"/>
  <c r="E37" i="20"/>
  <c r="Q36" i="20"/>
  <c r="P36" i="20"/>
  <c r="O36" i="20"/>
  <c r="N36" i="20"/>
  <c r="H36" i="20"/>
  <c r="G36" i="20"/>
  <c r="F36" i="20"/>
  <c r="E36" i="20"/>
  <c r="Q35" i="20"/>
  <c r="P35" i="20"/>
  <c r="O35" i="20"/>
  <c r="N35" i="20"/>
  <c r="H35" i="20"/>
  <c r="G35" i="20"/>
  <c r="F35" i="20"/>
  <c r="E35" i="20"/>
  <c r="Q41" i="21"/>
  <c r="P41" i="21"/>
  <c r="O41" i="21"/>
  <c r="N41" i="21"/>
  <c r="H41" i="21"/>
  <c r="G41" i="21"/>
  <c r="F41" i="21"/>
  <c r="E41" i="21"/>
  <c r="Q40" i="21"/>
  <c r="P40" i="21"/>
  <c r="O40" i="21"/>
  <c r="N40" i="21"/>
  <c r="H40" i="21"/>
  <c r="G40" i="21"/>
  <c r="F40" i="21"/>
  <c r="E40" i="21"/>
  <c r="Q39" i="21"/>
  <c r="P39" i="21"/>
  <c r="H39" i="21"/>
  <c r="G39" i="21"/>
  <c r="Q38" i="21"/>
  <c r="P38" i="21"/>
  <c r="O38" i="21"/>
  <c r="N38" i="21"/>
  <c r="H38" i="21"/>
  <c r="G38" i="21"/>
  <c r="F38" i="21"/>
  <c r="E38" i="21"/>
  <c r="Q37" i="21"/>
  <c r="P37" i="21"/>
  <c r="O37" i="21"/>
  <c r="N37" i="21"/>
  <c r="H37" i="21"/>
  <c r="G37" i="21"/>
  <c r="F37" i="21"/>
  <c r="E37" i="21"/>
  <c r="Q36" i="21"/>
  <c r="P36" i="21"/>
  <c r="O36" i="21"/>
  <c r="N36" i="21"/>
  <c r="H36" i="21"/>
  <c r="G36" i="21"/>
  <c r="F36" i="21"/>
  <c r="E36" i="21"/>
  <c r="Q35" i="21"/>
  <c r="P35" i="21"/>
  <c r="C25" i="100" s="1"/>
  <c r="O35" i="21"/>
  <c r="N35" i="21"/>
  <c r="H35" i="21"/>
  <c r="G35" i="21"/>
  <c r="F35" i="21"/>
  <c r="E35" i="21"/>
  <c r="Q41" i="22"/>
  <c r="P41" i="22"/>
  <c r="O41" i="22"/>
  <c r="N41" i="22"/>
  <c r="H41" i="22"/>
  <c r="G41" i="22"/>
  <c r="F41" i="22"/>
  <c r="E41" i="22"/>
  <c r="Q40" i="22"/>
  <c r="P40" i="22"/>
  <c r="O40" i="22"/>
  <c r="N40" i="22"/>
  <c r="H40" i="22"/>
  <c r="G40" i="22"/>
  <c r="F40" i="22"/>
  <c r="E40" i="22"/>
  <c r="Q39" i="22"/>
  <c r="P39" i="22"/>
  <c r="H39" i="22"/>
  <c r="G39" i="22"/>
  <c r="Q38" i="22"/>
  <c r="P38" i="22"/>
  <c r="O38" i="22"/>
  <c r="N38" i="22"/>
  <c r="H38" i="22"/>
  <c r="G38" i="22"/>
  <c r="F38" i="22"/>
  <c r="E38" i="22"/>
  <c r="Q37" i="22"/>
  <c r="P37" i="22"/>
  <c r="O37" i="22"/>
  <c r="N37" i="22"/>
  <c r="H37" i="22"/>
  <c r="G37" i="22"/>
  <c r="F37" i="22"/>
  <c r="E37" i="22"/>
  <c r="Q36" i="22"/>
  <c r="P36" i="22"/>
  <c r="O36" i="22"/>
  <c r="N36" i="22"/>
  <c r="H36" i="22"/>
  <c r="G36" i="22"/>
  <c r="F36" i="22"/>
  <c r="E36" i="22"/>
  <c r="Q35" i="22"/>
  <c r="P35" i="22"/>
  <c r="C12" i="100" s="1"/>
  <c r="O35" i="22"/>
  <c r="N35" i="22"/>
  <c r="H35" i="22"/>
  <c r="G35" i="22"/>
  <c r="F35" i="22"/>
  <c r="E35" i="22"/>
  <c r="Q41" i="24"/>
  <c r="P41" i="24"/>
  <c r="O41" i="24"/>
  <c r="N41" i="24"/>
  <c r="H41" i="24"/>
  <c r="G41" i="24"/>
  <c r="F41" i="24"/>
  <c r="E41" i="24"/>
  <c r="Q40" i="24"/>
  <c r="P40" i="24"/>
  <c r="O40" i="24"/>
  <c r="N40" i="24"/>
  <c r="H40" i="24"/>
  <c r="G40" i="24"/>
  <c r="F40" i="24"/>
  <c r="E40" i="24"/>
  <c r="Q39" i="24"/>
  <c r="P39" i="24"/>
  <c r="H39" i="24"/>
  <c r="G39" i="24"/>
  <c r="Q38" i="24"/>
  <c r="P38" i="24"/>
  <c r="O38" i="24"/>
  <c r="N38" i="24"/>
  <c r="H38" i="24"/>
  <c r="G38" i="24"/>
  <c r="F38" i="24"/>
  <c r="E38" i="24"/>
  <c r="Q37" i="24"/>
  <c r="P37" i="24"/>
  <c r="O37" i="24"/>
  <c r="N37" i="24"/>
  <c r="H37" i="24"/>
  <c r="G37" i="24"/>
  <c r="F37" i="24"/>
  <c r="E37" i="24"/>
  <c r="Q36" i="24"/>
  <c r="P36" i="24"/>
  <c r="O36" i="24"/>
  <c r="N36" i="24"/>
  <c r="H36" i="24"/>
  <c r="G36" i="24"/>
  <c r="F36" i="24"/>
  <c r="E36" i="24"/>
  <c r="Q35" i="24"/>
  <c r="P35" i="24"/>
  <c r="C18" i="100" s="1"/>
  <c r="O35" i="24"/>
  <c r="N35" i="24"/>
  <c r="H35" i="24"/>
  <c r="G35" i="24"/>
  <c r="F35" i="24"/>
  <c r="E35" i="24"/>
  <c r="N41" i="17"/>
  <c r="Q40" i="17"/>
  <c r="P40" i="17"/>
  <c r="O40" i="17"/>
  <c r="N40" i="17"/>
  <c r="Q38" i="17"/>
  <c r="P38" i="17"/>
  <c r="O38" i="17"/>
  <c r="N38" i="17"/>
  <c r="Q37" i="17"/>
  <c r="P37" i="17"/>
  <c r="O37" i="17"/>
  <c r="N37" i="17"/>
  <c r="N36" i="17"/>
  <c r="Q41" i="17"/>
  <c r="P41" i="17"/>
  <c r="O41" i="17"/>
  <c r="Q36" i="17"/>
  <c r="P36" i="17"/>
  <c r="O36" i="17"/>
  <c r="Q39" i="17"/>
  <c r="P39" i="17"/>
  <c r="Q35" i="17"/>
  <c r="P35" i="17"/>
  <c r="O35" i="17"/>
  <c r="N35" i="17"/>
  <c r="R17" i="62"/>
  <c r="R16" i="62"/>
  <c r="R13" i="62"/>
  <c r="R7" i="62"/>
  <c r="R15" i="62"/>
  <c r="C19" i="62"/>
  <c r="C18" i="62"/>
  <c r="Q19" i="62"/>
  <c r="Q20" i="62" s="1"/>
  <c r="Q18" i="62"/>
  <c r="P19" i="62"/>
  <c r="P20" i="62" s="1"/>
  <c r="P18" i="62"/>
  <c r="O20" i="62"/>
  <c r="O19" i="62"/>
  <c r="O18" i="62"/>
  <c r="M19" i="62"/>
  <c r="M20" i="62" s="1"/>
  <c r="M18" i="62"/>
  <c r="L19" i="62"/>
  <c r="L20" i="62" s="1"/>
  <c r="L18" i="62"/>
  <c r="K19" i="62"/>
  <c r="K20" i="62" s="1"/>
  <c r="K18" i="62"/>
  <c r="J19" i="62"/>
  <c r="J20" i="62" s="1"/>
  <c r="J18" i="62"/>
  <c r="I19" i="62"/>
  <c r="I20" i="62" s="1"/>
  <c r="I18" i="62"/>
  <c r="H19" i="62"/>
  <c r="H20" i="62" s="1"/>
  <c r="H18" i="62"/>
  <c r="G19" i="62"/>
  <c r="G20" i="62" s="1"/>
  <c r="G18" i="62"/>
  <c r="F19" i="62"/>
  <c r="F20" i="62" s="1"/>
  <c r="F18" i="62"/>
  <c r="E19" i="62"/>
  <c r="E20" i="62" s="1"/>
  <c r="E18" i="62"/>
  <c r="D19" i="62"/>
  <c r="D20" i="62" s="1"/>
  <c r="D18" i="62"/>
  <c r="C20" i="62"/>
  <c r="N20" i="62"/>
  <c r="N19" i="62"/>
  <c r="N18" i="62"/>
  <c r="G15" i="87"/>
  <c r="G14" i="87"/>
  <c r="G13" i="87"/>
  <c r="G12" i="87"/>
  <c r="G11" i="87"/>
  <c r="G9" i="87"/>
  <c r="G8" i="87"/>
  <c r="E9" i="83"/>
  <c r="D9" i="83"/>
  <c r="C9" i="83"/>
  <c r="E32" i="74"/>
  <c r="E35" i="74"/>
  <c r="I14" i="73"/>
  <c r="I13" i="73"/>
  <c r="J14" i="73"/>
  <c r="H14" i="73"/>
  <c r="G10" i="97" l="1"/>
  <c r="I15" i="67"/>
  <c r="I14" i="67"/>
  <c r="I13" i="67"/>
  <c r="I12" i="67"/>
  <c r="I11" i="67"/>
  <c r="I10" i="67"/>
  <c r="I21" i="67"/>
  <c r="I9" i="67"/>
  <c r="I20" i="67"/>
  <c r="I8" i="67"/>
  <c r="I4" i="67"/>
  <c r="I19" i="67"/>
  <c r="I7" i="67"/>
  <c r="I18" i="67"/>
  <c r="I6" i="67"/>
  <c r="I17" i="67"/>
  <c r="I5" i="67"/>
  <c r="I16" i="67"/>
  <c r="C14" i="98"/>
  <c r="C17" i="98"/>
  <c r="C18" i="98"/>
  <c r="C22" i="98"/>
  <c r="C21" i="98"/>
  <c r="C20" i="98"/>
  <c r="C19" i="98"/>
  <c r="C16" i="98"/>
  <c r="C15" i="98"/>
  <c r="C5" i="100"/>
  <c r="U27" i="96"/>
  <c r="C4" i="114" s="1"/>
  <c r="R27" i="96"/>
  <c r="I4" i="107" s="1"/>
  <c r="E5" i="100"/>
  <c r="N27" i="96"/>
  <c r="E4" i="107" s="1"/>
  <c r="W28" i="96"/>
  <c r="Y28" i="96"/>
  <c r="G5" i="111" s="1"/>
  <c r="O28" i="96"/>
  <c r="F5" i="105" s="1"/>
  <c r="P28" i="96"/>
  <c r="G5" i="105" s="1"/>
  <c r="AA29" i="96"/>
  <c r="X29" i="96"/>
  <c r="U30" i="96"/>
  <c r="M30" i="96"/>
  <c r="C8" i="100"/>
  <c r="L30" i="96"/>
  <c r="C7" i="107" s="1"/>
  <c r="Q30" i="96"/>
  <c r="H7" i="106" s="1"/>
  <c r="V30" i="96"/>
  <c r="G8" i="112"/>
  <c r="G8" i="115"/>
  <c r="C8" i="107"/>
  <c r="C8" i="106"/>
  <c r="H8" i="104"/>
  <c r="W31" i="96"/>
  <c r="M31" i="96"/>
  <c r="D8" i="107" s="1"/>
  <c r="F8" i="109"/>
  <c r="G9" i="104"/>
  <c r="R32" i="96"/>
  <c r="Y32" i="96"/>
  <c r="V32" i="96"/>
  <c r="D10" i="107"/>
  <c r="D10" i="106"/>
  <c r="D10" i="110"/>
  <c r="I10" i="111"/>
  <c r="I10" i="113"/>
  <c r="X33" i="96"/>
  <c r="U33" i="96"/>
  <c r="D10" i="112"/>
  <c r="N33" i="96"/>
  <c r="F10" i="107"/>
  <c r="R33" i="96"/>
  <c r="I10" i="105" s="1"/>
  <c r="D10" i="114"/>
  <c r="Y35" i="96"/>
  <c r="V35" i="96"/>
  <c r="U35" i="96"/>
  <c r="C11" i="114" s="1"/>
  <c r="M35" i="96"/>
  <c r="D11" i="108" s="1"/>
  <c r="L35" i="96"/>
  <c r="C11" i="106" s="1"/>
  <c r="G12" i="111"/>
  <c r="G12" i="116"/>
  <c r="G12" i="114"/>
  <c r="U36" i="96"/>
  <c r="E14" i="100"/>
  <c r="Q36" i="96"/>
  <c r="M36" i="96"/>
  <c r="L37" i="96"/>
  <c r="C13" i="104" s="1"/>
  <c r="H14" i="112"/>
  <c r="N38" i="96"/>
  <c r="R38" i="96"/>
  <c r="I14" i="105" s="1"/>
  <c r="W38" i="96"/>
  <c r="U39" i="96"/>
  <c r="Y39" i="96"/>
  <c r="H15" i="105"/>
  <c r="H15" i="114"/>
  <c r="O39" i="96"/>
  <c r="H15" i="110"/>
  <c r="E15" i="116"/>
  <c r="L40" i="96"/>
  <c r="C16" i="110" s="1"/>
  <c r="P40" i="96"/>
  <c r="C19" i="100"/>
  <c r="C17" i="113"/>
  <c r="C17" i="116"/>
  <c r="G17" i="115"/>
  <c r="G17" i="111"/>
  <c r="D17" i="113"/>
  <c r="D17" i="116"/>
  <c r="F17" i="106"/>
  <c r="F17" i="109"/>
  <c r="F17" i="104"/>
  <c r="F17" i="105"/>
  <c r="I17" i="110"/>
  <c r="E17" i="113"/>
  <c r="Q41" i="96"/>
  <c r="I17" i="106"/>
  <c r="H19" i="110"/>
  <c r="E19" i="106"/>
  <c r="D19" i="111"/>
  <c r="E19" i="111"/>
  <c r="I19" i="109"/>
  <c r="H19" i="105"/>
  <c r="I19" i="105"/>
  <c r="H19" i="115"/>
  <c r="I19" i="115"/>
  <c r="D19" i="107"/>
  <c r="D19" i="112"/>
  <c r="E19" i="112"/>
  <c r="I19" i="116"/>
  <c r="I20" i="111"/>
  <c r="Q45" i="96"/>
  <c r="R45" i="96"/>
  <c r="I20" i="106" s="1"/>
  <c r="I20" i="115"/>
  <c r="Z45" i="96"/>
  <c r="I20" i="113"/>
  <c r="C21" i="109"/>
  <c r="C21" i="104"/>
  <c r="R46" i="96"/>
  <c r="X46" i="96"/>
  <c r="F21" i="117" s="1"/>
  <c r="M46" i="96"/>
  <c r="D21" i="107" s="1"/>
  <c r="E22" i="112"/>
  <c r="C22" i="115"/>
  <c r="E22" i="111"/>
  <c r="C22" i="113"/>
  <c r="N47" i="96"/>
  <c r="E22" i="109" s="1"/>
  <c r="R47" i="96"/>
  <c r="I22" i="105" s="1"/>
  <c r="D22" i="116"/>
  <c r="D22" i="114"/>
  <c r="C22" i="117"/>
  <c r="D23" i="117"/>
  <c r="D23" i="111"/>
  <c r="AA48" i="96"/>
  <c r="I23" i="117" s="1"/>
  <c r="C23" i="108"/>
  <c r="E12" i="100"/>
  <c r="M48" i="96"/>
  <c r="Q48" i="96"/>
  <c r="C4" i="117"/>
  <c r="C4" i="113"/>
  <c r="C4" i="112"/>
  <c r="I4" i="109"/>
  <c r="F4" i="117"/>
  <c r="F4" i="114"/>
  <c r="F4" i="113"/>
  <c r="F4" i="116"/>
  <c r="F4" i="115"/>
  <c r="F4" i="112"/>
  <c r="F4" i="111"/>
  <c r="E4" i="117"/>
  <c r="E4" i="114"/>
  <c r="E4" i="113"/>
  <c r="E4" i="116"/>
  <c r="E4" i="115"/>
  <c r="E4" i="112"/>
  <c r="E4" i="111"/>
  <c r="C4" i="107"/>
  <c r="C4" i="105"/>
  <c r="C4" i="104"/>
  <c r="C4" i="106"/>
  <c r="C4" i="109"/>
  <c r="C4" i="108"/>
  <c r="C4" i="110"/>
  <c r="H4" i="104"/>
  <c r="G4" i="107"/>
  <c r="H4" i="105"/>
  <c r="D4" i="110"/>
  <c r="D4" i="108"/>
  <c r="H4" i="107"/>
  <c r="E4" i="110"/>
  <c r="E4" i="108"/>
  <c r="D4" i="109"/>
  <c r="O27" i="96"/>
  <c r="G4" i="110"/>
  <c r="G4" i="108"/>
  <c r="H4" i="110"/>
  <c r="H4" i="108"/>
  <c r="G4" i="109"/>
  <c r="H4" i="109"/>
  <c r="D4" i="106"/>
  <c r="D4" i="104"/>
  <c r="E4" i="106"/>
  <c r="D4" i="105"/>
  <c r="E4" i="104"/>
  <c r="E4" i="105"/>
  <c r="G4" i="106"/>
  <c r="G4" i="104"/>
  <c r="E5" i="116"/>
  <c r="E5" i="114"/>
  <c r="E5" i="111"/>
  <c r="E5" i="117"/>
  <c r="E5" i="112"/>
  <c r="E5" i="115"/>
  <c r="E5" i="113"/>
  <c r="G5" i="114"/>
  <c r="G5" i="112"/>
  <c r="G5" i="115"/>
  <c r="G5" i="113"/>
  <c r="G5" i="116"/>
  <c r="L28" i="96"/>
  <c r="F5" i="109"/>
  <c r="E5" i="106"/>
  <c r="I5" i="105"/>
  <c r="C5" i="113"/>
  <c r="G5" i="109"/>
  <c r="F5" i="106"/>
  <c r="I5" i="111"/>
  <c r="I5" i="114"/>
  <c r="C5" i="115"/>
  <c r="E5" i="104"/>
  <c r="E5" i="110"/>
  <c r="I5" i="116"/>
  <c r="F5" i="104"/>
  <c r="F5" i="110"/>
  <c r="I5" i="109"/>
  <c r="C5" i="112"/>
  <c r="G5" i="104"/>
  <c r="G5" i="110"/>
  <c r="E5" i="108"/>
  <c r="I5" i="106"/>
  <c r="C5" i="117"/>
  <c r="F5" i="108"/>
  <c r="I5" i="104"/>
  <c r="G5" i="108"/>
  <c r="I5" i="113"/>
  <c r="E5" i="107"/>
  <c r="C5" i="111"/>
  <c r="C5" i="114"/>
  <c r="I5" i="115"/>
  <c r="I5" i="108"/>
  <c r="F5" i="107"/>
  <c r="E5" i="105"/>
  <c r="C6" i="100"/>
  <c r="M28" i="96"/>
  <c r="G5" i="107"/>
  <c r="I5" i="112"/>
  <c r="E6" i="100"/>
  <c r="C6" i="105"/>
  <c r="C6" i="104"/>
  <c r="C6" i="108"/>
  <c r="C6" i="109"/>
  <c r="C6" i="106"/>
  <c r="C6" i="107"/>
  <c r="C6" i="110"/>
  <c r="D6" i="114"/>
  <c r="D6" i="113"/>
  <c r="D6" i="117"/>
  <c r="D6" i="112"/>
  <c r="D6" i="116"/>
  <c r="D6" i="111"/>
  <c r="D6" i="115"/>
  <c r="C6" i="115"/>
  <c r="C6" i="114"/>
  <c r="C6" i="113"/>
  <c r="C6" i="117"/>
  <c r="C6" i="112"/>
  <c r="C6" i="116"/>
  <c r="C6" i="111"/>
  <c r="F6" i="113"/>
  <c r="F6" i="117"/>
  <c r="F6" i="112"/>
  <c r="F6" i="116"/>
  <c r="F6" i="111"/>
  <c r="F6" i="115"/>
  <c r="F6" i="114"/>
  <c r="I6" i="117"/>
  <c r="I6" i="112"/>
  <c r="I6" i="116"/>
  <c r="I6" i="111"/>
  <c r="I6" i="115"/>
  <c r="I6" i="114"/>
  <c r="I6" i="113"/>
  <c r="G6" i="113"/>
  <c r="E6" i="114"/>
  <c r="D6" i="110"/>
  <c r="H6" i="113"/>
  <c r="E6" i="115"/>
  <c r="G6" i="114"/>
  <c r="F6" i="110"/>
  <c r="D6" i="107"/>
  <c r="D6" i="106"/>
  <c r="E6" i="111"/>
  <c r="H6" i="114"/>
  <c r="G6" i="115"/>
  <c r="E6" i="116"/>
  <c r="G6" i="110"/>
  <c r="H6" i="115"/>
  <c r="H6" i="110"/>
  <c r="D6" i="109"/>
  <c r="D6" i="108"/>
  <c r="F6" i="107"/>
  <c r="F6" i="106"/>
  <c r="G6" i="111"/>
  <c r="G6" i="116"/>
  <c r="D6" i="104"/>
  <c r="I6" i="110"/>
  <c r="G6" i="107"/>
  <c r="G6" i="106"/>
  <c r="H6" i="111"/>
  <c r="E6" i="112"/>
  <c r="H6" i="116"/>
  <c r="E6" i="117"/>
  <c r="F6" i="109"/>
  <c r="F6" i="108"/>
  <c r="H6" i="107"/>
  <c r="H6" i="106"/>
  <c r="F6" i="104"/>
  <c r="G6" i="109"/>
  <c r="G6" i="108"/>
  <c r="I6" i="107"/>
  <c r="I6" i="106"/>
  <c r="G6" i="112"/>
  <c r="G6" i="104"/>
  <c r="H6" i="109"/>
  <c r="H6" i="108"/>
  <c r="H6" i="112"/>
  <c r="H6" i="104"/>
  <c r="I6" i="109"/>
  <c r="I6" i="108"/>
  <c r="I6" i="104"/>
  <c r="D7" i="115"/>
  <c r="D7" i="111"/>
  <c r="D7" i="116"/>
  <c r="D7" i="112"/>
  <c r="D7" i="117"/>
  <c r="D7" i="113"/>
  <c r="D7" i="114"/>
  <c r="F7" i="106"/>
  <c r="F7" i="108"/>
  <c r="F7" i="105"/>
  <c r="F7" i="110"/>
  <c r="F7" i="107"/>
  <c r="F7" i="109"/>
  <c r="F7" i="104"/>
  <c r="C7" i="115"/>
  <c r="C7" i="111"/>
  <c r="C7" i="116"/>
  <c r="C7" i="112"/>
  <c r="C7" i="117"/>
  <c r="C7" i="113"/>
  <c r="C7" i="114"/>
  <c r="D7" i="104"/>
  <c r="D7" i="106"/>
  <c r="D7" i="108"/>
  <c r="D7" i="105"/>
  <c r="D7" i="110"/>
  <c r="D7" i="107"/>
  <c r="D7" i="109"/>
  <c r="E8" i="100"/>
  <c r="E7" i="104"/>
  <c r="C7" i="110"/>
  <c r="I7" i="108"/>
  <c r="I7" i="106"/>
  <c r="H7" i="111"/>
  <c r="F7" i="115"/>
  <c r="I7" i="116"/>
  <c r="E7" i="109"/>
  <c r="E7" i="107"/>
  <c r="I7" i="111"/>
  <c r="E7" i="110"/>
  <c r="H7" i="115"/>
  <c r="E7" i="114"/>
  <c r="I7" i="115"/>
  <c r="I7" i="104"/>
  <c r="C7" i="105"/>
  <c r="F7" i="114"/>
  <c r="I7" i="109"/>
  <c r="I7" i="107"/>
  <c r="I7" i="110"/>
  <c r="C7" i="108"/>
  <c r="C7" i="106"/>
  <c r="E7" i="105"/>
  <c r="E7" i="113"/>
  <c r="H7" i="114"/>
  <c r="E7" i="117"/>
  <c r="E7" i="112"/>
  <c r="F7" i="113"/>
  <c r="I7" i="114"/>
  <c r="F7" i="117"/>
  <c r="E7" i="108"/>
  <c r="F7" i="112"/>
  <c r="E7" i="116"/>
  <c r="E7" i="111"/>
  <c r="H7" i="113"/>
  <c r="F7" i="116"/>
  <c r="H7" i="117"/>
  <c r="C7" i="104"/>
  <c r="H7" i="112"/>
  <c r="I7" i="113"/>
  <c r="I7" i="117"/>
  <c r="C7" i="109"/>
  <c r="H42" i="6"/>
  <c r="H8" i="114"/>
  <c r="H8" i="117"/>
  <c r="H8" i="111"/>
  <c r="H8" i="113"/>
  <c r="H8" i="116"/>
  <c r="H8" i="115"/>
  <c r="H8" i="112"/>
  <c r="E8" i="115"/>
  <c r="E8" i="112"/>
  <c r="E8" i="114"/>
  <c r="E8" i="117"/>
  <c r="E8" i="111"/>
  <c r="E8" i="113"/>
  <c r="E8" i="116"/>
  <c r="V31" i="96"/>
  <c r="G8" i="109"/>
  <c r="F8" i="108"/>
  <c r="F8" i="107"/>
  <c r="D8" i="106"/>
  <c r="I8" i="112"/>
  <c r="C8" i="113"/>
  <c r="H8" i="109"/>
  <c r="G8" i="108"/>
  <c r="G8" i="107"/>
  <c r="E8" i="106"/>
  <c r="C8" i="111"/>
  <c r="I8" i="115"/>
  <c r="F8" i="116"/>
  <c r="E8" i="107"/>
  <c r="R31" i="96"/>
  <c r="C8" i="110"/>
  <c r="H8" i="108"/>
  <c r="H8" i="107"/>
  <c r="F8" i="106"/>
  <c r="G8" i="116"/>
  <c r="E8" i="108"/>
  <c r="D8" i="110"/>
  <c r="G8" i="106"/>
  <c r="C8" i="105"/>
  <c r="F8" i="113"/>
  <c r="C8" i="117"/>
  <c r="E8" i="110"/>
  <c r="H8" i="106"/>
  <c r="D8" i="105"/>
  <c r="F8" i="111"/>
  <c r="G8" i="113"/>
  <c r="C8" i="114"/>
  <c r="I8" i="116"/>
  <c r="F8" i="110"/>
  <c r="E8" i="105"/>
  <c r="G8" i="111"/>
  <c r="C8" i="104"/>
  <c r="G8" i="110"/>
  <c r="F8" i="105"/>
  <c r="C8" i="112"/>
  <c r="I8" i="113"/>
  <c r="F8" i="117"/>
  <c r="D8" i="104"/>
  <c r="H8" i="110"/>
  <c r="G8" i="105"/>
  <c r="I8" i="111"/>
  <c r="F8" i="114"/>
  <c r="C8" i="115"/>
  <c r="G8" i="117"/>
  <c r="E8" i="104"/>
  <c r="C8" i="109"/>
  <c r="G8" i="114"/>
  <c r="D8" i="109"/>
  <c r="C8" i="108"/>
  <c r="F8" i="112"/>
  <c r="I8" i="117"/>
  <c r="D8" i="108"/>
  <c r="G9" i="115"/>
  <c r="G9" i="117"/>
  <c r="G9" i="116"/>
  <c r="G9" i="112"/>
  <c r="G9" i="111"/>
  <c r="G9" i="113"/>
  <c r="G9" i="114"/>
  <c r="D9" i="113"/>
  <c r="D9" i="114"/>
  <c r="D9" i="112"/>
  <c r="D9" i="111"/>
  <c r="D9" i="115"/>
  <c r="D9" i="117"/>
  <c r="D9" i="116"/>
  <c r="F9" i="113"/>
  <c r="L32" i="96"/>
  <c r="AA32" i="96"/>
  <c r="N32" i="96"/>
  <c r="Z32" i="96"/>
  <c r="O32" i="96"/>
  <c r="G9" i="108"/>
  <c r="E9" i="116"/>
  <c r="E9" i="117"/>
  <c r="G9" i="110"/>
  <c r="G9" i="105"/>
  <c r="F9" i="116"/>
  <c r="F9" i="117"/>
  <c r="G9" i="109"/>
  <c r="G9" i="106"/>
  <c r="E9" i="115"/>
  <c r="F9" i="115"/>
  <c r="C10" i="100"/>
  <c r="M32" i="96"/>
  <c r="E9" i="111"/>
  <c r="E9" i="112"/>
  <c r="E9" i="114"/>
  <c r="F9" i="111"/>
  <c r="F9" i="112"/>
  <c r="F10" i="113"/>
  <c r="F10" i="111"/>
  <c r="F10" i="117"/>
  <c r="F10" i="115"/>
  <c r="F10" i="116"/>
  <c r="F10" i="114"/>
  <c r="F10" i="112"/>
  <c r="C10" i="116"/>
  <c r="C10" i="114"/>
  <c r="C10" i="113"/>
  <c r="C10" i="111"/>
  <c r="C10" i="112"/>
  <c r="C10" i="117"/>
  <c r="C10" i="115"/>
  <c r="F10" i="110"/>
  <c r="E10" i="106"/>
  <c r="E10" i="112"/>
  <c r="E10" i="114"/>
  <c r="D10" i="104"/>
  <c r="F10" i="106"/>
  <c r="I10" i="116"/>
  <c r="E10" i="104"/>
  <c r="G10" i="112"/>
  <c r="G10" i="114"/>
  <c r="F10" i="104"/>
  <c r="D10" i="115"/>
  <c r="D10" i="117"/>
  <c r="P33" i="96"/>
  <c r="D10" i="109"/>
  <c r="D10" i="105"/>
  <c r="D10" i="111"/>
  <c r="I10" i="112"/>
  <c r="I10" i="114"/>
  <c r="E10" i="115"/>
  <c r="E10" i="117"/>
  <c r="G10" i="116"/>
  <c r="E10" i="109"/>
  <c r="E10" i="105"/>
  <c r="E10" i="111"/>
  <c r="L33" i="96"/>
  <c r="F10" i="109"/>
  <c r="F10" i="105"/>
  <c r="D10" i="113"/>
  <c r="G10" i="115"/>
  <c r="G10" i="117"/>
  <c r="D10" i="108"/>
  <c r="G10" i="111"/>
  <c r="E10" i="113"/>
  <c r="I10" i="115"/>
  <c r="I10" i="117"/>
  <c r="C11" i="111"/>
  <c r="C11" i="117"/>
  <c r="C11" i="116"/>
  <c r="C11" i="115"/>
  <c r="C11" i="112"/>
  <c r="D11" i="104"/>
  <c r="D11" i="105"/>
  <c r="D11" i="106"/>
  <c r="D11" i="109"/>
  <c r="D11" i="110"/>
  <c r="I11" i="117"/>
  <c r="I11" i="114"/>
  <c r="I11" i="113"/>
  <c r="I11" i="116"/>
  <c r="I11" i="115"/>
  <c r="I11" i="112"/>
  <c r="I11" i="111"/>
  <c r="C11" i="110"/>
  <c r="C11" i="108"/>
  <c r="C11" i="107"/>
  <c r="C11" i="104"/>
  <c r="C11" i="105"/>
  <c r="G11" i="117"/>
  <c r="G11" i="114"/>
  <c r="G11" i="113"/>
  <c r="G11" i="116"/>
  <c r="G11" i="115"/>
  <c r="G11" i="112"/>
  <c r="G11" i="111"/>
  <c r="D11" i="117"/>
  <c r="D11" i="114"/>
  <c r="D11" i="113"/>
  <c r="D11" i="116"/>
  <c r="D11" i="115"/>
  <c r="D11" i="112"/>
  <c r="D11" i="111"/>
  <c r="H11" i="104"/>
  <c r="E11" i="108"/>
  <c r="H11" i="107"/>
  <c r="E11" i="110"/>
  <c r="E11" i="111"/>
  <c r="E11" i="109"/>
  <c r="G11" i="108"/>
  <c r="G11" i="110"/>
  <c r="H11" i="108"/>
  <c r="E11" i="112"/>
  <c r="H11" i="110"/>
  <c r="G11" i="109"/>
  <c r="E11" i="115"/>
  <c r="E11" i="116"/>
  <c r="O35" i="96"/>
  <c r="H11" i="109"/>
  <c r="E11" i="113"/>
  <c r="E11" i="114"/>
  <c r="E11" i="106"/>
  <c r="E11" i="105"/>
  <c r="G11" i="106"/>
  <c r="G11" i="105"/>
  <c r="E13" i="100"/>
  <c r="E11" i="104"/>
  <c r="H11" i="106"/>
  <c r="G11" i="104"/>
  <c r="H12" i="105"/>
  <c r="H12" i="108"/>
  <c r="H12" i="104"/>
  <c r="H12" i="110"/>
  <c r="H12" i="106"/>
  <c r="H12" i="109"/>
  <c r="H12" i="107"/>
  <c r="D12" i="116"/>
  <c r="D12" i="114"/>
  <c r="D12" i="111"/>
  <c r="D12" i="117"/>
  <c r="D12" i="112"/>
  <c r="D12" i="115"/>
  <c r="D12" i="113"/>
  <c r="H12" i="117"/>
  <c r="H12" i="112"/>
  <c r="H12" i="115"/>
  <c r="H12" i="113"/>
  <c r="H12" i="111"/>
  <c r="H12" i="116"/>
  <c r="H12" i="114"/>
  <c r="F12" i="116"/>
  <c r="F12" i="114"/>
  <c r="F12" i="111"/>
  <c r="F12" i="117"/>
  <c r="F12" i="112"/>
  <c r="F12" i="115"/>
  <c r="F12" i="113"/>
  <c r="C12" i="116"/>
  <c r="C12" i="114"/>
  <c r="C12" i="111"/>
  <c r="C12" i="117"/>
  <c r="C12" i="112"/>
  <c r="C12" i="115"/>
  <c r="C12" i="113"/>
  <c r="R36" i="96"/>
  <c r="F12" i="109"/>
  <c r="I12" i="111"/>
  <c r="C12" i="110"/>
  <c r="G12" i="109"/>
  <c r="F12" i="106"/>
  <c r="I12" i="114"/>
  <c r="I12" i="116"/>
  <c r="C12" i="104"/>
  <c r="D12" i="110"/>
  <c r="C12" i="108"/>
  <c r="G12" i="106"/>
  <c r="W36" i="96"/>
  <c r="D12" i="104"/>
  <c r="D12" i="108"/>
  <c r="F12" i="110"/>
  <c r="C12" i="105"/>
  <c r="G12" i="113"/>
  <c r="G12" i="115"/>
  <c r="F12" i="104"/>
  <c r="G12" i="110"/>
  <c r="F12" i="108"/>
  <c r="D12" i="105"/>
  <c r="G12" i="104"/>
  <c r="G12" i="108"/>
  <c r="C12" i="107"/>
  <c r="I12" i="113"/>
  <c r="I12" i="115"/>
  <c r="D12" i="107"/>
  <c r="F12" i="105"/>
  <c r="G12" i="112"/>
  <c r="G12" i="117"/>
  <c r="G12" i="105"/>
  <c r="C12" i="109"/>
  <c r="I12" i="112"/>
  <c r="C14" i="100"/>
  <c r="H13" i="112"/>
  <c r="H13" i="117"/>
  <c r="H13" i="116"/>
  <c r="H13" i="111"/>
  <c r="H13" i="115"/>
  <c r="H13" i="114"/>
  <c r="H13" i="113"/>
  <c r="R37" i="96"/>
  <c r="D13" i="114"/>
  <c r="D13" i="115"/>
  <c r="C13" i="111"/>
  <c r="C13" i="116"/>
  <c r="C13" i="110"/>
  <c r="D13" i="111"/>
  <c r="D13" i="116"/>
  <c r="W37" i="96"/>
  <c r="AA37" i="96"/>
  <c r="C13" i="106"/>
  <c r="C13" i="107"/>
  <c r="C13" i="105"/>
  <c r="C13" i="117"/>
  <c r="E15" i="100"/>
  <c r="C13" i="109"/>
  <c r="C13" i="108"/>
  <c r="C13" i="112"/>
  <c r="D13" i="117"/>
  <c r="D13" i="112"/>
  <c r="Y37" i="96"/>
  <c r="C13" i="113"/>
  <c r="C13" i="114"/>
  <c r="F14" i="111"/>
  <c r="F14" i="112"/>
  <c r="F14" i="116"/>
  <c r="F14" i="115"/>
  <c r="F14" i="113"/>
  <c r="F14" i="117"/>
  <c r="F14" i="114"/>
  <c r="E14" i="106"/>
  <c r="E14" i="108"/>
  <c r="E14" i="105"/>
  <c r="E14" i="110"/>
  <c r="E14" i="107"/>
  <c r="E14" i="104"/>
  <c r="E14" i="109"/>
  <c r="E14" i="115"/>
  <c r="E14" i="111"/>
  <c r="E14" i="112"/>
  <c r="E14" i="116"/>
  <c r="E14" i="113"/>
  <c r="E14" i="117"/>
  <c r="E14" i="114"/>
  <c r="H14" i="106"/>
  <c r="G14" i="111"/>
  <c r="H14" i="111"/>
  <c r="D14" i="109"/>
  <c r="I14" i="108"/>
  <c r="I14" i="106"/>
  <c r="C14" i="114"/>
  <c r="H14" i="115"/>
  <c r="AA38" i="96"/>
  <c r="D14" i="104"/>
  <c r="D14" i="107"/>
  <c r="D14" i="114"/>
  <c r="H14" i="108"/>
  <c r="G14" i="115"/>
  <c r="O38" i="96"/>
  <c r="D14" i="110"/>
  <c r="C14" i="117"/>
  <c r="D14" i="105"/>
  <c r="C14" i="113"/>
  <c r="D14" i="117"/>
  <c r="L38" i="96"/>
  <c r="P38" i="96"/>
  <c r="H14" i="109"/>
  <c r="D14" i="113"/>
  <c r="G14" i="114"/>
  <c r="C14" i="116"/>
  <c r="H14" i="104"/>
  <c r="I14" i="109"/>
  <c r="H14" i="107"/>
  <c r="C14" i="112"/>
  <c r="H14" i="114"/>
  <c r="D14" i="116"/>
  <c r="I14" i="104"/>
  <c r="H14" i="110"/>
  <c r="C14" i="111"/>
  <c r="D14" i="112"/>
  <c r="G14" i="117"/>
  <c r="E16" i="100"/>
  <c r="I14" i="110"/>
  <c r="D14" i="108"/>
  <c r="D14" i="111"/>
  <c r="G14" i="113"/>
  <c r="H14" i="117"/>
  <c r="H14" i="113"/>
  <c r="G14" i="116"/>
  <c r="D15" i="110"/>
  <c r="D15" i="105"/>
  <c r="D15" i="106"/>
  <c r="D15" i="107"/>
  <c r="D15" i="108"/>
  <c r="D15" i="104"/>
  <c r="D15" i="109"/>
  <c r="F15" i="115"/>
  <c r="F15" i="114"/>
  <c r="F15" i="111"/>
  <c r="F15" i="117"/>
  <c r="F15" i="113"/>
  <c r="F15" i="116"/>
  <c r="F15" i="112"/>
  <c r="C15" i="112"/>
  <c r="C15" i="115"/>
  <c r="C15" i="114"/>
  <c r="C15" i="111"/>
  <c r="C15" i="117"/>
  <c r="C15" i="113"/>
  <c r="C15" i="116"/>
  <c r="G15" i="114"/>
  <c r="G15" i="111"/>
  <c r="G15" i="117"/>
  <c r="G15" i="113"/>
  <c r="G15" i="116"/>
  <c r="G15" i="112"/>
  <c r="G15" i="115"/>
  <c r="I15" i="105"/>
  <c r="E15" i="112"/>
  <c r="H15" i="115"/>
  <c r="D15" i="116"/>
  <c r="I15" i="110"/>
  <c r="F15" i="109"/>
  <c r="F15" i="104"/>
  <c r="H15" i="112"/>
  <c r="D15" i="113"/>
  <c r="E17" i="100"/>
  <c r="N39" i="96"/>
  <c r="H15" i="109"/>
  <c r="F15" i="108"/>
  <c r="E15" i="113"/>
  <c r="H15" i="116"/>
  <c r="D15" i="117"/>
  <c r="F50" i="96"/>
  <c r="AG24" i="96" s="1"/>
  <c r="H15" i="104"/>
  <c r="I15" i="109"/>
  <c r="F15" i="107"/>
  <c r="D15" i="111"/>
  <c r="E15" i="117"/>
  <c r="I15" i="104"/>
  <c r="H15" i="108"/>
  <c r="F15" i="106"/>
  <c r="E15" i="111"/>
  <c r="I15" i="108"/>
  <c r="H15" i="107"/>
  <c r="H15" i="113"/>
  <c r="D15" i="114"/>
  <c r="I15" i="107"/>
  <c r="E15" i="114"/>
  <c r="H15" i="117"/>
  <c r="L39" i="96"/>
  <c r="P24" i="28"/>
  <c r="D16" i="114"/>
  <c r="D16" i="115"/>
  <c r="D16" i="116"/>
  <c r="D16" i="117"/>
  <c r="D16" i="112"/>
  <c r="D16" i="113"/>
  <c r="D16" i="111"/>
  <c r="G16" i="109"/>
  <c r="G16" i="105"/>
  <c r="G16" i="104"/>
  <c r="G16" i="108"/>
  <c r="G16" i="107"/>
  <c r="G16" i="110"/>
  <c r="G16" i="106"/>
  <c r="I16" i="104"/>
  <c r="F16" i="110"/>
  <c r="H16" i="109"/>
  <c r="C16" i="107"/>
  <c r="I16" i="105"/>
  <c r="C16" i="112"/>
  <c r="I16" i="115"/>
  <c r="I16" i="109"/>
  <c r="D16" i="107"/>
  <c r="H16" i="106"/>
  <c r="F16" i="114"/>
  <c r="H16" i="110"/>
  <c r="E16" i="107"/>
  <c r="I16" i="106"/>
  <c r="F16" i="111"/>
  <c r="F16" i="113"/>
  <c r="G16" i="114"/>
  <c r="I16" i="110"/>
  <c r="F16" i="107"/>
  <c r="G16" i="111"/>
  <c r="F16" i="112"/>
  <c r="G16" i="113"/>
  <c r="C16" i="108"/>
  <c r="G16" i="112"/>
  <c r="I16" i="114"/>
  <c r="C16" i="117"/>
  <c r="D16" i="108"/>
  <c r="H16" i="107"/>
  <c r="I16" i="111"/>
  <c r="I16" i="113"/>
  <c r="C16" i="116"/>
  <c r="C16" i="104"/>
  <c r="E16" i="108"/>
  <c r="I16" i="107"/>
  <c r="C16" i="105"/>
  <c r="I16" i="112"/>
  <c r="C16" i="115"/>
  <c r="D16" i="104"/>
  <c r="C16" i="109"/>
  <c r="F16" i="108"/>
  <c r="D16" i="105"/>
  <c r="F16" i="117"/>
  <c r="E16" i="104"/>
  <c r="D16" i="109"/>
  <c r="C16" i="106"/>
  <c r="E16" i="105"/>
  <c r="F16" i="116"/>
  <c r="G16" i="117"/>
  <c r="F16" i="104"/>
  <c r="E16" i="109"/>
  <c r="H16" i="108"/>
  <c r="D16" i="106"/>
  <c r="F16" i="105"/>
  <c r="G16" i="116"/>
  <c r="F16" i="109"/>
  <c r="E16" i="106"/>
  <c r="C16" i="114"/>
  <c r="I16" i="117"/>
  <c r="H16" i="104"/>
  <c r="C16" i="111"/>
  <c r="G17" i="104"/>
  <c r="G17" i="109"/>
  <c r="D17" i="108"/>
  <c r="G17" i="105"/>
  <c r="H17" i="111"/>
  <c r="G17" i="113"/>
  <c r="E17" i="116"/>
  <c r="H17" i="104"/>
  <c r="H17" i="109"/>
  <c r="E17" i="108"/>
  <c r="H17" i="105"/>
  <c r="I17" i="111"/>
  <c r="H17" i="113"/>
  <c r="C17" i="114"/>
  <c r="I17" i="115"/>
  <c r="I17" i="104"/>
  <c r="I17" i="109"/>
  <c r="F17" i="108"/>
  <c r="C17" i="107"/>
  <c r="I17" i="105"/>
  <c r="C17" i="112"/>
  <c r="I17" i="113"/>
  <c r="D17" i="114"/>
  <c r="G17" i="116"/>
  <c r="C17" i="117"/>
  <c r="G17" i="108"/>
  <c r="D17" i="107"/>
  <c r="D17" i="112"/>
  <c r="E17" i="114"/>
  <c r="H17" i="116"/>
  <c r="D17" i="117"/>
  <c r="H17" i="108"/>
  <c r="E17" i="107"/>
  <c r="E17" i="112"/>
  <c r="C17" i="115"/>
  <c r="I17" i="116"/>
  <c r="E17" i="117"/>
  <c r="E17" i="109"/>
  <c r="C17" i="108"/>
  <c r="C17" i="110"/>
  <c r="I17" i="108"/>
  <c r="F17" i="107"/>
  <c r="C17" i="106"/>
  <c r="G17" i="114"/>
  <c r="D17" i="115"/>
  <c r="E17" i="105"/>
  <c r="D17" i="110"/>
  <c r="G17" i="107"/>
  <c r="D17" i="106"/>
  <c r="G17" i="112"/>
  <c r="H17" i="114"/>
  <c r="E17" i="115"/>
  <c r="G17" i="117"/>
  <c r="E17" i="110"/>
  <c r="E17" i="106"/>
  <c r="C17" i="111"/>
  <c r="H17" i="112"/>
  <c r="I17" i="114"/>
  <c r="H17" i="117"/>
  <c r="C17" i="104"/>
  <c r="F17" i="110"/>
  <c r="C17" i="109"/>
  <c r="D17" i="111"/>
  <c r="I17" i="112"/>
  <c r="D17" i="104"/>
  <c r="G17" i="110"/>
  <c r="D17" i="109"/>
  <c r="F19" i="114"/>
  <c r="F19" i="115"/>
  <c r="F19" i="116"/>
  <c r="F19" i="117"/>
  <c r="F19" i="113"/>
  <c r="F19" i="112"/>
  <c r="F19" i="111"/>
  <c r="G19" i="113"/>
  <c r="H19" i="114"/>
  <c r="L44" i="96"/>
  <c r="I19" i="110"/>
  <c r="E19" i="107"/>
  <c r="H19" i="106"/>
  <c r="G19" i="111"/>
  <c r="G19" i="112"/>
  <c r="H19" i="113"/>
  <c r="I19" i="114"/>
  <c r="D19" i="108"/>
  <c r="I19" i="106"/>
  <c r="H19" i="111"/>
  <c r="H19" i="112"/>
  <c r="I19" i="113"/>
  <c r="E19" i="108"/>
  <c r="I19" i="111"/>
  <c r="I19" i="112"/>
  <c r="D19" i="117"/>
  <c r="AG18" i="96"/>
  <c r="O44" i="96" s="1"/>
  <c r="D19" i="104"/>
  <c r="H19" i="107"/>
  <c r="E19" i="117"/>
  <c r="E19" i="104"/>
  <c r="D19" i="109"/>
  <c r="I19" i="107"/>
  <c r="D19" i="116"/>
  <c r="E19" i="109"/>
  <c r="H19" i="108"/>
  <c r="D19" i="105"/>
  <c r="D19" i="115"/>
  <c r="E19" i="116"/>
  <c r="G19" i="117"/>
  <c r="I19" i="108"/>
  <c r="E19" i="105"/>
  <c r="E19" i="115"/>
  <c r="H19" i="117"/>
  <c r="G19" i="114"/>
  <c r="H19" i="104"/>
  <c r="D19" i="110"/>
  <c r="D19" i="114"/>
  <c r="G19" i="116"/>
  <c r="F20" i="113"/>
  <c r="F20" i="111"/>
  <c r="F20" i="115"/>
  <c r="F20" i="117"/>
  <c r="F20" i="112"/>
  <c r="F20" i="114"/>
  <c r="F20" i="116"/>
  <c r="G20" i="115"/>
  <c r="G20" i="117"/>
  <c r="G20" i="112"/>
  <c r="G20" i="114"/>
  <c r="G20" i="116"/>
  <c r="G20" i="113"/>
  <c r="G20" i="111"/>
  <c r="E20" i="113"/>
  <c r="E20" i="111"/>
  <c r="E20" i="115"/>
  <c r="E20" i="117"/>
  <c r="E20" i="112"/>
  <c r="E20" i="114"/>
  <c r="E20" i="116"/>
  <c r="H20" i="106"/>
  <c r="H20" i="109"/>
  <c r="H20" i="107"/>
  <c r="H20" i="104"/>
  <c r="H20" i="110"/>
  <c r="H20" i="105"/>
  <c r="H20" i="108"/>
  <c r="D20" i="113"/>
  <c r="D20" i="111"/>
  <c r="D20" i="116"/>
  <c r="D20" i="115"/>
  <c r="D20" i="117"/>
  <c r="D20" i="112"/>
  <c r="D20" i="114"/>
  <c r="H20" i="115"/>
  <c r="H20" i="117"/>
  <c r="H20" i="112"/>
  <c r="H20" i="114"/>
  <c r="H20" i="116"/>
  <c r="H20" i="113"/>
  <c r="H20" i="111"/>
  <c r="C20" i="105"/>
  <c r="C20" i="108"/>
  <c r="C20" i="106"/>
  <c r="C20" i="109"/>
  <c r="C20" i="110"/>
  <c r="C20" i="107"/>
  <c r="C20" i="104"/>
  <c r="G20" i="106"/>
  <c r="G20" i="109"/>
  <c r="G20" i="107"/>
  <c r="G20" i="104"/>
  <c r="G20" i="110"/>
  <c r="G20" i="108"/>
  <c r="G20" i="105"/>
  <c r="C20" i="114"/>
  <c r="I20" i="108"/>
  <c r="C20" i="112"/>
  <c r="F20" i="110"/>
  <c r="I20" i="105"/>
  <c r="F20" i="104"/>
  <c r="F20" i="107"/>
  <c r="C20" i="117"/>
  <c r="I20" i="116"/>
  <c r="I20" i="110"/>
  <c r="C20" i="115"/>
  <c r="I20" i="104"/>
  <c r="F20" i="109"/>
  <c r="I20" i="107"/>
  <c r="I20" i="114"/>
  <c r="F20" i="106"/>
  <c r="C20" i="111"/>
  <c r="I20" i="112"/>
  <c r="C20" i="113"/>
  <c r="M45" i="96"/>
  <c r="I20" i="109"/>
  <c r="F20" i="105"/>
  <c r="N45" i="96"/>
  <c r="C21" i="117"/>
  <c r="C21" i="116"/>
  <c r="C21" i="115"/>
  <c r="C21" i="114"/>
  <c r="C21" i="113"/>
  <c r="C21" i="112"/>
  <c r="C21" i="111"/>
  <c r="I21" i="110"/>
  <c r="I21" i="109"/>
  <c r="I21" i="107"/>
  <c r="I21" i="108"/>
  <c r="I21" i="106"/>
  <c r="I21" i="105"/>
  <c r="I21" i="104"/>
  <c r="H21" i="117"/>
  <c r="H21" i="116"/>
  <c r="H21" i="115"/>
  <c r="H21" i="114"/>
  <c r="H21" i="113"/>
  <c r="H21" i="112"/>
  <c r="H21" i="111"/>
  <c r="E21" i="117"/>
  <c r="E21" i="116"/>
  <c r="E21" i="115"/>
  <c r="E21" i="114"/>
  <c r="E21" i="113"/>
  <c r="E21" i="112"/>
  <c r="E21" i="111"/>
  <c r="I21" i="117"/>
  <c r="I21" i="116"/>
  <c r="I21" i="115"/>
  <c r="I21" i="114"/>
  <c r="I21" i="113"/>
  <c r="I21" i="112"/>
  <c r="I21" i="111"/>
  <c r="C21" i="110"/>
  <c r="D21" i="109"/>
  <c r="G21" i="105"/>
  <c r="G21" i="106"/>
  <c r="G21" i="108"/>
  <c r="G21" i="107"/>
  <c r="O46" i="96"/>
  <c r="G21" i="109"/>
  <c r="D21" i="111"/>
  <c r="G21" i="110"/>
  <c r="D21" i="112"/>
  <c r="F21" i="111"/>
  <c r="D21" i="113"/>
  <c r="D21" i="114"/>
  <c r="D21" i="115"/>
  <c r="D21" i="116"/>
  <c r="F21" i="112"/>
  <c r="R24" i="96"/>
  <c r="C17" i="97" s="1"/>
  <c r="F21" i="113"/>
  <c r="F21" i="114"/>
  <c r="F21" i="115"/>
  <c r="F21" i="116"/>
  <c r="C24" i="100"/>
  <c r="D21" i="104"/>
  <c r="C21" i="105"/>
  <c r="C21" i="106"/>
  <c r="D21" i="105"/>
  <c r="C21" i="108"/>
  <c r="C21" i="107"/>
  <c r="D21" i="106"/>
  <c r="E24" i="100"/>
  <c r="D21" i="108"/>
  <c r="E22" i="110"/>
  <c r="E22" i="104"/>
  <c r="E22" i="105"/>
  <c r="E22" i="107"/>
  <c r="I22" i="104"/>
  <c r="I22" i="110"/>
  <c r="C22" i="109"/>
  <c r="I22" i="108"/>
  <c r="F22" i="112"/>
  <c r="E22" i="114"/>
  <c r="E22" i="116"/>
  <c r="D22" i="109"/>
  <c r="C22" i="107"/>
  <c r="I22" i="106"/>
  <c r="C22" i="105"/>
  <c r="F22" i="114"/>
  <c r="F22" i="116"/>
  <c r="D22" i="107"/>
  <c r="D22" i="105"/>
  <c r="C22" i="111"/>
  <c r="H22" i="112"/>
  <c r="D22" i="111"/>
  <c r="H22" i="114"/>
  <c r="H22" i="116"/>
  <c r="F22" i="111"/>
  <c r="D22" i="113"/>
  <c r="D22" i="115"/>
  <c r="D22" i="117"/>
  <c r="O47" i="96"/>
  <c r="C22" i="104"/>
  <c r="C22" i="110"/>
  <c r="I22" i="109"/>
  <c r="C22" i="108"/>
  <c r="E22" i="113"/>
  <c r="E22" i="115"/>
  <c r="E25" i="100"/>
  <c r="D22" i="104"/>
  <c r="D22" i="110"/>
  <c r="D22" i="108"/>
  <c r="I22" i="107"/>
  <c r="H22" i="111"/>
  <c r="F22" i="113"/>
  <c r="F22" i="115"/>
  <c r="Y47" i="96"/>
  <c r="C22" i="112"/>
  <c r="H22" i="113"/>
  <c r="H22" i="115"/>
  <c r="C22" i="114"/>
  <c r="H23" i="117"/>
  <c r="H23" i="116"/>
  <c r="H23" i="115"/>
  <c r="H23" i="114"/>
  <c r="H23" i="113"/>
  <c r="H23" i="112"/>
  <c r="H23" i="111"/>
  <c r="D23" i="110"/>
  <c r="D23" i="105"/>
  <c r="D23" i="104"/>
  <c r="D23" i="109"/>
  <c r="D23" i="106"/>
  <c r="D23" i="107"/>
  <c r="D23" i="108"/>
  <c r="H23" i="105"/>
  <c r="H23" i="104"/>
  <c r="H23" i="106"/>
  <c r="H23" i="107"/>
  <c r="H23" i="108"/>
  <c r="H23" i="109"/>
  <c r="H23" i="110"/>
  <c r="F23" i="110"/>
  <c r="E23" i="109"/>
  <c r="C23" i="107"/>
  <c r="D23" i="112"/>
  <c r="C23" i="113"/>
  <c r="E39" i="119"/>
  <c r="G23" i="110"/>
  <c r="F23" i="109"/>
  <c r="E23" i="108"/>
  <c r="C23" i="106"/>
  <c r="F23" i="111"/>
  <c r="D23" i="113"/>
  <c r="C23" i="114"/>
  <c r="E23" i="110"/>
  <c r="C23" i="104"/>
  <c r="G23" i="109"/>
  <c r="F23" i="108"/>
  <c r="E23" i="107"/>
  <c r="C23" i="105"/>
  <c r="F23" i="112"/>
  <c r="D23" i="114"/>
  <c r="C23" i="115"/>
  <c r="G23" i="108"/>
  <c r="F23" i="107"/>
  <c r="E23" i="106"/>
  <c r="F23" i="113"/>
  <c r="D23" i="115"/>
  <c r="C23" i="116"/>
  <c r="E23" i="104"/>
  <c r="G23" i="107"/>
  <c r="F23" i="106"/>
  <c r="I23" i="111"/>
  <c r="F23" i="114"/>
  <c r="D23" i="116"/>
  <c r="C23" i="117"/>
  <c r="F23" i="104"/>
  <c r="G23" i="106"/>
  <c r="I23" i="112"/>
  <c r="F23" i="115"/>
  <c r="G23" i="104"/>
  <c r="I23" i="113"/>
  <c r="F23" i="116"/>
  <c r="I23" i="114"/>
  <c r="I23" i="115"/>
  <c r="C23" i="110"/>
  <c r="I23" i="116"/>
  <c r="E41" i="119"/>
  <c r="L49" i="96"/>
  <c r="C24" i="107" s="1"/>
  <c r="Y24" i="96"/>
  <c r="P49" i="96"/>
  <c r="G24" i="106" s="1"/>
  <c r="Y49" i="96"/>
  <c r="G24" i="117" s="1"/>
  <c r="F24" i="117"/>
  <c r="F24" i="114"/>
  <c r="F24" i="111"/>
  <c r="F24" i="115"/>
  <c r="F24" i="112"/>
  <c r="F24" i="116"/>
  <c r="F24" i="113"/>
  <c r="G24" i="112"/>
  <c r="G24" i="116"/>
  <c r="G24" i="113"/>
  <c r="Z24" i="96"/>
  <c r="G24" i="104"/>
  <c r="I24" i="109"/>
  <c r="I24" i="106"/>
  <c r="H24" i="104"/>
  <c r="F24" i="110"/>
  <c r="F24" i="107"/>
  <c r="I24" i="104"/>
  <c r="G24" i="110"/>
  <c r="C24" i="108"/>
  <c r="G24" i="107"/>
  <c r="C24" i="105"/>
  <c r="H24" i="113"/>
  <c r="H24" i="116"/>
  <c r="H24" i="110"/>
  <c r="D24" i="108"/>
  <c r="H24" i="107"/>
  <c r="D24" i="105"/>
  <c r="I24" i="113"/>
  <c r="I24" i="116"/>
  <c r="I24" i="110"/>
  <c r="I24" i="107"/>
  <c r="E18" i="100"/>
  <c r="F24" i="108"/>
  <c r="F24" i="105"/>
  <c r="C24" i="109"/>
  <c r="G24" i="108"/>
  <c r="C24" i="106"/>
  <c r="G24" i="105"/>
  <c r="H24" i="112"/>
  <c r="H24" i="115"/>
  <c r="D24" i="109"/>
  <c r="H24" i="108"/>
  <c r="D24" i="106"/>
  <c r="H24" i="105"/>
  <c r="I24" i="112"/>
  <c r="I24" i="115"/>
  <c r="C24" i="104"/>
  <c r="I24" i="108"/>
  <c r="D24" i="104"/>
  <c r="F24" i="109"/>
  <c r="F24" i="106"/>
  <c r="U49" i="96"/>
  <c r="C24" i="110"/>
  <c r="G24" i="109"/>
  <c r="H24" i="111"/>
  <c r="H24" i="114"/>
  <c r="D24" i="110"/>
  <c r="H24" i="109"/>
  <c r="I24" i="111"/>
  <c r="I24" i="114"/>
  <c r="O43" i="96"/>
  <c r="F18" i="106" s="1"/>
  <c r="I18" i="104"/>
  <c r="C18" i="108"/>
  <c r="G18" i="106"/>
  <c r="I18" i="105"/>
  <c r="C18" i="113"/>
  <c r="G18" i="115"/>
  <c r="I18" i="116"/>
  <c r="D18" i="108"/>
  <c r="F18" i="107"/>
  <c r="H18" i="106"/>
  <c r="D18" i="113"/>
  <c r="F18" i="114"/>
  <c r="X24" i="96"/>
  <c r="C18" i="109"/>
  <c r="G18" i="107"/>
  <c r="I18" i="106"/>
  <c r="C18" i="112"/>
  <c r="G18" i="114"/>
  <c r="I18" i="115"/>
  <c r="D18" i="109"/>
  <c r="F18" i="108"/>
  <c r="H18" i="107"/>
  <c r="D18" i="112"/>
  <c r="F18" i="113"/>
  <c r="D33" i="119"/>
  <c r="D39" i="119"/>
  <c r="E28" i="100"/>
  <c r="C18" i="110"/>
  <c r="G18" i="108"/>
  <c r="I18" i="107"/>
  <c r="C18" i="111"/>
  <c r="G18" i="113"/>
  <c r="I18" i="114"/>
  <c r="C18" i="117"/>
  <c r="D41" i="119"/>
  <c r="E33" i="100"/>
  <c r="E50" i="96"/>
  <c r="I50" i="96"/>
  <c r="D18" i="110"/>
  <c r="H18" i="108"/>
  <c r="D18" i="111"/>
  <c r="F18" i="112"/>
  <c r="D18" i="117"/>
  <c r="C18" i="104"/>
  <c r="G18" i="109"/>
  <c r="I18" i="108"/>
  <c r="C18" i="105"/>
  <c r="G18" i="112"/>
  <c r="I18" i="113"/>
  <c r="C18" i="116"/>
  <c r="F39" i="119"/>
  <c r="C28" i="100"/>
  <c r="C21" i="100"/>
  <c r="G39" i="119"/>
  <c r="E27" i="100"/>
  <c r="E21" i="100"/>
  <c r="C27" i="100"/>
  <c r="F41" i="119"/>
  <c r="C33" i="100"/>
  <c r="D18" i="104"/>
  <c r="F18" i="110"/>
  <c r="H18" i="109"/>
  <c r="D18" i="105"/>
  <c r="F18" i="111"/>
  <c r="D18" i="116"/>
  <c r="F18" i="117"/>
  <c r="G41" i="119"/>
  <c r="E32" i="100"/>
  <c r="C32" i="100"/>
  <c r="G18" i="110"/>
  <c r="I18" i="109"/>
  <c r="C18" i="106"/>
  <c r="G18" i="111"/>
  <c r="I18" i="112"/>
  <c r="C18" i="115"/>
  <c r="G18" i="117"/>
  <c r="F18" i="104"/>
  <c r="H18" i="110"/>
  <c r="D18" i="106"/>
  <c r="D18" i="115"/>
  <c r="F18" i="116"/>
  <c r="G18" i="104"/>
  <c r="I18" i="111"/>
  <c r="G50" i="96"/>
  <c r="H18" i="104"/>
  <c r="F14" i="89"/>
  <c r="K9" i="89"/>
  <c r="H11" i="89"/>
  <c r="D19" i="88"/>
  <c r="H12" i="88"/>
  <c r="G9" i="88"/>
  <c r="G11" i="88"/>
  <c r="I14" i="88"/>
  <c r="G10" i="88"/>
  <c r="G7" i="88"/>
  <c r="G12" i="88"/>
  <c r="G8" i="88"/>
  <c r="D14" i="88"/>
  <c r="K7" i="89"/>
  <c r="G12" i="89"/>
  <c r="F13" i="89"/>
  <c r="E12" i="68" s="1"/>
  <c r="H6" i="89"/>
  <c r="F9" i="118"/>
  <c r="K8" i="89"/>
  <c r="H8" i="89"/>
  <c r="I14" i="89"/>
  <c r="G8" i="89"/>
  <c r="D5" i="118"/>
  <c r="D19" i="89"/>
  <c r="G9" i="89"/>
  <c r="K11" i="89"/>
  <c r="K10" i="89"/>
  <c r="G10" i="89"/>
  <c r="D14" i="89"/>
  <c r="D23" i="89" s="1"/>
  <c r="D18" i="89"/>
  <c r="D13" i="89"/>
  <c r="D26" i="89" s="1"/>
  <c r="D4" i="118"/>
  <c r="D6" i="118"/>
  <c r="D7" i="118"/>
  <c r="E12" i="83"/>
  <c r="D8" i="118"/>
  <c r="E13" i="89"/>
  <c r="G13" i="89" s="1"/>
  <c r="H9" i="89"/>
  <c r="D27" i="89"/>
  <c r="D9" i="118"/>
  <c r="E14" i="89"/>
  <c r="G14" i="89" s="1"/>
  <c r="H10" i="89"/>
  <c r="I23" i="89"/>
  <c r="D10" i="118"/>
  <c r="G6" i="89"/>
  <c r="I13" i="89"/>
  <c r="I21" i="89" s="1"/>
  <c r="K6" i="88"/>
  <c r="K7" i="88"/>
  <c r="H8" i="88"/>
  <c r="K8" i="88"/>
  <c r="K9" i="88"/>
  <c r="H9" i="88"/>
  <c r="K10" i="88"/>
  <c r="I13" i="88"/>
  <c r="K12" i="118"/>
  <c r="C12" i="118"/>
  <c r="C11" i="83"/>
  <c r="D17" i="88"/>
  <c r="M9" i="118"/>
  <c r="N9" i="118" s="1"/>
  <c r="E9" i="118"/>
  <c r="K11" i="88"/>
  <c r="C11" i="68"/>
  <c r="M10" i="118"/>
  <c r="N10" i="118" s="1"/>
  <c r="E10" i="118"/>
  <c r="G10" i="118" s="1"/>
  <c r="K12" i="88"/>
  <c r="K4" i="118"/>
  <c r="C4" i="118"/>
  <c r="F13" i="88"/>
  <c r="G6" i="88"/>
  <c r="E13" i="88"/>
  <c r="E14" i="88"/>
  <c r="K5" i="118"/>
  <c r="C5" i="118"/>
  <c r="K6" i="118"/>
  <c r="C6" i="118"/>
  <c r="F14" i="88"/>
  <c r="H14" i="88" s="1"/>
  <c r="K7" i="118"/>
  <c r="C7" i="118"/>
  <c r="K8" i="118"/>
  <c r="C8" i="118"/>
  <c r="J14" i="88"/>
  <c r="K9" i="118"/>
  <c r="C9" i="118"/>
  <c r="K10" i="118"/>
  <c r="C10" i="118"/>
  <c r="H10" i="88"/>
  <c r="H7" i="88"/>
  <c r="K6" i="89"/>
  <c r="H7" i="89"/>
  <c r="K12" i="89"/>
  <c r="D50" i="96"/>
  <c r="C50" i="96"/>
  <c r="C6" i="99" s="1"/>
  <c r="R35" i="96"/>
  <c r="AA24" i="96"/>
  <c r="R48" i="96"/>
  <c r="AA39" i="96"/>
  <c r="Z28" i="96"/>
  <c r="Q37" i="96"/>
  <c r="Q46" i="96"/>
  <c r="Q47" i="96"/>
  <c r="Q32" i="96"/>
  <c r="Q33" i="96"/>
  <c r="Q28" i="96"/>
  <c r="P39" i="96"/>
  <c r="P47" i="96"/>
  <c r="P44" i="96"/>
  <c r="P37" i="96"/>
  <c r="P30" i="96"/>
  <c r="O37" i="96"/>
  <c r="X37" i="96"/>
  <c r="N43" i="96"/>
  <c r="N46" i="96"/>
  <c r="N29" i="96"/>
  <c r="N36" i="96"/>
  <c r="N37" i="96"/>
  <c r="N49" i="96"/>
  <c r="M37" i="96"/>
  <c r="AA47" i="96"/>
  <c r="Z43" i="96"/>
  <c r="Q24" i="96"/>
  <c r="Z40" i="96"/>
  <c r="Z35" i="96"/>
  <c r="Z33" i="96"/>
  <c r="Y48" i="96"/>
  <c r="Y46" i="96"/>
  <c r="P24" i="96"/>
  <c r="Y30" i="96"/>
  <c r="X41" i="96"/>
  <c r="X35" i="96"/>
  <c r="O24" i="96"/>
  <c r="X28" i="96"/>
  <c r="W49" i="96"/>
  <c r="W48" i="96"/>
  <c r="W43" i="96"/>
  <c r="W40" i="96"/>
  <c r="N24" i="96"/>
  <c r="C13" i="97" s="1"/>
  <c r="V49" i="96"/>
  <c r="V28" i="96"/>
  <c r="M24" i="96"/>
  <c r="C12" i="97" s="1"/>
  <c r="V27" i="96"/>
  <c r="U44" i="96"/>
  <c r="U32" i="96"/>
  <c r="L24" i="96"/>
  <c r="C11" i="97" s="1"/>
  <c r="I24" i="96"/>
  <c r="C9" i="97" s="1"/>
  <c r="H24" i="96"/>
  <c r="C8" i="97" s="1"/>
  <c r="G24" i="96"/>
  <c r="C7" i="97" s="1"/>
  <c r="F24" i="96"/>
  <c r="C6" i="97" s="1"/>
  <c r="E24" i="96"/>
  <c r="C5" i="97" s="1"/>
  <c r="D24" i="96"/>
  <c r="C4" i="97" s="1"/>
  <c r="C24" i="96"/>
  <c r="C3" i="97" s="1"/>
  <c r="Y27" i="96"/>
  <c r="H50" i="96"/>
  <c r="Z27" i="96"/>
  <c r="AA27" i="96"/>
  <c r="U24" i="96"/>
  <c r="V24" i="96"/>
  <c r="W24" i="96"/>
  <c r="H6" i="88"/>
  <c r="D18" i="88"/>
  <c r="D20" i="88" s="1"/>
  <c r="F17" i="67"/>
  <c r="I4" i="108" l="1"/>
  <c r="C4" i="111"/>
  <c r="C4" i="115"/>
  <c r="C4" i="116"/>
  <c r="I4" i="106"/>
  <c r="I4" i="105"/>
  <c r="E4" i="109"/>
  <c r="G5" i="117"/>
  <c r="G5" i="106"/>
  <c r="H7" i="110"/>
  <c r="H7" i="107"/>
  <c r="H7" i="109"/>
  <c r="H7" i="105"/>
  <c r="H7" i="104"/>
  <c r="H7" i="108"/>
  <c r="I10" i="107"/>
  <c r="E10" i="108"/>
  <c r="E10" i="107"/>
  <c r="E10" i="110"/>
  <c r="I10" i="104"/>
  <c r="I10" i="106"/>
  <c r="I10" i="109"/>
  <c r="I10" i="110"/>
  <c r="I10" i="108"/>
  <c r="C11" i="109"/>
  <c r="C11" i="113"/>
  <c r="D11" i="107"/>
  <c r="D12" i="109"/>
  <c r="D12" i="106"/>
  <c r="I14" i="107"/>
  <c r="F15" i="105"/>
  <c r="F15" i="110"/>
  <c r="H17" i="107"/>
  <c r="H17" i="106"/>
  <c r="H17" i="110"/>
  <c r="D21" i="110"/>
  <c r="E22" i="108"/>
  <c r="E22" i="106"/>
  <c r="H4" i="117"/>
  <c r="H4" i="114"/>
  <c r="H4" i="113"/>
  <c r="H4" i="116"/>
  <c r="H4" i="115"/>
  <c r="H4" i="112"/>
  <c r="H4" i="111"/>
  <c r="D4" i="117"/>
  <c r="D4" i="114"/>
  <c r="D4" i="113"/>
  <c r="D4" i="116"/>
  <c r="D4" i="115"/>
  <c r="D4" i="112"/>
  <c r="D4" i="111"/>
  <c r="G4" i="117"/>
  <c r="G4" i="114"/>
  <c r="G4" i="113"/>
  <c r="G4" i="116"/>
  <c r="G4" i="115"/>
  <c r="G4" i="112"/>
  <c r="G4" i="111"/>
  <c r="F4" i="107"/>
  <c r="F4" i="105"/>
  <c r="F4" i="104"/>
  <c r="F4" i="106"/>
  <c r="F4" i="109"/>
  <c r="F4" i="108"/>
  <c r="F4" i="110"/>
  <c r="I4" i="117"/>
  <c r="I4" i="114"/>
  <c r="I4" i="113"/>
  <c r="I4" i="116"/>
  <c r="I4" i="115"/>
  <c r="I4" i="112"/>
  <c r="I4" i="111"/>
  <c r="F5" i="116"/>
  <c r="F5" i="114"/>
  <c r="F5" i="111"/>
  <c r="F5" i="117"/>
  <c r="F5" i="112"/>
  <c r="F5" i="115"/>
  <c r="F5" i="113"/>
  <c r="H5" i="105"/>
  <c r="H5" i="107"/>
  <c r="H5" i="108"/>
  <c r="H5" i="110"/>
  <c r="H5" i="104"/>
  <c r="H5" i="106"/>
  <c r="H5" i="109"/>
  <c r="D5" i="116"/>
  <c r="D5" i="114"/>
  <c r="D5" i="111"/>
  <c r="D5" i="117"/>
  <c r="D5" i="112"/>
  <c r="D5" i="115"/>
  <c r="D5" i="113"/>
  <c r="D5" i="106"/>
  <c r="D5" i="109"/>
  <c r="D5" i="105"/>
  <c r="D5" i="107"/>
  <c r="D5" i="108"/>
  <c r="D5" i="110"/>
  <c r="D5" i="104"/>
  <c r="C5" i="106"/>
  <c r="C5" i="109"/>
  <c r="C5" i="105"/>
  <c r="C5" i="107"/>
  <c r="C5" i="108"/>
  <c r="C5" i="110"/>
  <c r="C5" i="104"/>
  <c r="H5" i="117"/>
  <c r="H5" i="112"/>
  <c r="H5" i="115"/>
  <c r="H5" i="113"/>
  <c r="H5" i="116"/>
  <c r="H5" i="114"/>
  <c r="H5" i="111"/>
  <c r="E6" i="105"/>
  <c r="E6" i="104"/>
  <c r="E6" i="108"/>
  <c r="E6" i="109"/>
  <c r="E6" i="106"/>
  <c r="E6" i="107"/>
  <c r="E6" i="110"/>
  <c r="G7" i="106"/>
  <c r="G7" i="108"/>
  <c r="G7" i="105"/>
  <c r="G7" i="110"/>
  <c r="G7" i="107"/>
  <c r="G7" i="109"/>
  <c r="G7" i="104"/>
  <c r="G7" i="111"/>
  <c r="G7" i="116"/>
  <c r="G7" i="112"/>
  <c r="G7" i="117"/>
  <c r="G7" i="113"/>
  <c r="G7" i="114"/>
  <c r="G7" i="115"/>
  <c r="C8" i="99"/>
  <c r="I8" i="105"/>
  <c r="I8" i="110"/>
  <c r="I8" i="106"/>
  <c r="I8" i="107"/>
  <c r="I8" i="108"/>
  <c r="I8" i="109"/>
  <c r="I8" i="104"/>
  <c r="D8" i="115"/>
  <c r="D8" i="112"/>
  <c r="D8" i="114"/>
  <c r="D8" i="117"/>
  <c r="D8" i="116"/>
  <c r="D8" i="111"/>
  <c r="D8" i="113"/>
  <c r="C9" i="107"/>
  <c r="C9" i="106"/>
  <c r="C9" i="109"/>
  <c r="C9" i="105"/>
  <c r="C9" i="110"/>
  <c r="C9" i="108"/>
  <c r="C9" i="104"/>
  <c r="D9" i="107"/>
  <c r="D9" i="106"/>
  <c r="D9" i="109"/>
  <c r="D9" i="105"/>
  <c r="D9" i="110"/>
  <c r="D9" i="104"/>
  <c r="D9" i="108"/>
  <c r="F9" i="107"/>
  <c r="F9" i="106"/>
  <c r="F9" i="109"/>
  <c r="F9" i="105"/>
  <c r="F9" i="110"/>
  <c r="F9" i="104"/>
  <c r="F9" i="108"/>
  <c r="H9" i="106"/>
  <c r="H9" i="109"/>
  <c r="H9" i="105"/>
  <c r="H9" i="110"/>
  <c r="H9" i="104"/>
  <c r="H9" i="108"/>
  <c r="H9" i="107"/>
  <c r="H9" i="115"/>
  <c r="H9" i="117"/>
  <c r="H9" i="116"/>
  <c r="H9" i="113"/>
  <c r="H9" i="114"/>
  <c r="H9" i="112"/>
  <c r="H9" i="111"/>
  <c r="C9" i="113"/>
  <c r="C9" i="114"/>
  <c r="C9" i="112"/>
  <c r="C9" i="111"/>
  <c r="C9" i="115"/>
  <c r="C9" i="117"/>
  <c r="C9" i="116"/>
  <c r="E9" i="107"/>
  <c r="E9" i="106"/>
  <c r="E9" i="109"/>
  <c r="E9" i="105"/>
  <c r="E9" i="110"/>
  <c r="E9" i="104"/>
  <c r="E9" i="108"/>
  <c r="H10" i="105"/>
  <c r="H10" i="109"/>
  <c r="H10" i="108"/>
  <c r="H10" i="104"/>
  <c r="H10" i="106"/>
  <c r="H10" i="110"/>
  <c r="H10" i="107"/>
  <c r="H10" i="113"/>
  <c r="H10" i="111"/>
  <c r="H10" i="117"/>
  <c r="H10" i="115"/>
  <c r="H10" i="114"/>
  <c r="H10" i="112"/>
  <c r="H10" i="116"/>
  <c r="C10" i="110"/>
  <c r="C10" i="107"/>
  <c r="C10" i="108"/>
  <c r="C10" i="105"/>
  <c r="C10" i="109"/>
  <c r="C10" i="104"/>
  <c r="C10" i="106"/>
  <c r="G10" i="108"/>
  <c r="G10" i="105"/>
  <c r="G10" i="109"/>
  <c r="G10" i="104"/>
  <c r="G10" i="106"/>
  <c r="G10" i="110"/>
  <c r="G10" i="107"/>
  <c r="F11" i="107"/>
  <c r="F11" i="104"/>
  <c r="F11" i="105"/>
  <c r="F11" i="106"/>
  <c r="F11" i="109"/>
  <c r="F11" i="110"/>
  <c r="F11" i="108"/>
  <c r="F11" i="117"/>
  <c r="F11" i="114"/>
  <c r="F11" i="113"/>
  <c r="F11" i="116"/>
  <c r="F11" i="115"/>
  <c r="F11" i="112"/>
  <c r="F11" i="111"/>
  <c r="I11" i="105"/>
  <c r="I11" i="106"/>
  <c r="I11" i="109"/>
  <c r="I11" i="110"/>
  <c r="I11" i="108"/>
  <c r="I11" i="107"/>
  <c r="I11" i="104"/>
  <c r="O50" i="96"/>
  <c r="F25" i="108" s="1"/>
  <c r="H11" i="117"/>
  <c r="H11" i="114"/>
  <c r="H11" i="113"/>
  <c r="H11" i="116"/>
  <c r="H11" i="115"/>
  <c r="H11" i="112"/>
  <c r="H11" i="111"/>
  <c r="AA50" i="96"/>
  <c r="I25" i="113" s="1"/>
  <c r="E12" i="116"/>
  <c r="E12" i="114"/>
  <c r="E12" i="111"/>
  <c r="E12" i="117"/>
  <c r="E12" i="112"/>
  <c r="E12" i="115"/>
  <c r="E12" i="113"/>
  <c r="I12" i="105"/>
  <c r="I12" i="108"/>
  <c r="I12" i="104"/>
  <c r="I12" i="110"/>
  <c r="I12" i="106"/>
  <c r="I12" i="109"/>
  <c r="I12" i="107"/>
  <c r="E12" i="107"/>
  <c r="E12" i="105"/>
  <c r="E12" i="108"/>
  <c r="E12" i="104"/>
  <c r="E12" i="110"/>
  <c r="E12" i="109"/>
  <c r="E12" i="106"/>
  <c r="H13" i="108"/>
  <c r="H13" i="109"/>
  <c r="H13" i="105"/>
  <c r="H13" i="107"/>
  <c r="H13" i="106"/>
  <c r="H13" i="110"/>
  <c r="H13" i="104"/>
  <c r="G13" i="108"/>
  <c r="G13" i="109"/>
  <c r="G13" i="105"/>
  <c r="G13" i="107"/>
  <c r="G13" i="106"/>
  <c r="G13" i="110"/>
  <c r="G13" i="104"/>
  <c r="I13" i="108"/>
  <c r="I13" i="109"/>
  <c r="I13" i="105"/>
  <c r="I13" i="107"/>
  <c r="I13" i="106"/>
  <c r="I13" i="110"/>
  <c r="I13" i="104"/>
  <c r="D13" i="104"/>
  <c r="D13" i="108"/>
  <c r="D13" i="109"/>
  <c r="D13" i="105"/>
  <c r="D13" i="107"/>
  <c r="D13" i="106"/>
  <c r="D13" i="110"/>
  <c r="E13" i="104"/>
  <c r="E13" i="108"/>
  <c r="E13" i="109"/>
  <c r="E13" i="105"/>
  <c r="E13" i="107"/>
  <c r="E13" i="106"/>
  <c r="E13" i="110"/>
  <c r="I13" i="112"/>
  <c r="I13" i="117"/>
  <c r="I13" i="116"/>
  <c r="I13" i="111"/>
  <c r="I13" i="115"/>
  <c r="I13" i="114"/>
  <c r="I13" i="113"/>
  <c r="G13" i="112"/>
  <c r="G13" i="117"/>
  <c r="G13" i="116"/>
  <c r="G13" i="111"/>
  <c r="G13" i="115"/>
  <c r="G13" i="114"/>
  <c r="G13" i="113"/>
  <c r="E13" i="113"/>
  <c r="E13" i="112"/>
  <c r="E13" i="117"/>
  <c r="E13" i="116"/>
  <c r="E13" i="111"/>
  <c r="E13" i="115"/>
  <c r="E13" i="114"/>
  <c r="F13" i="104"/>
  <c r="F13" i="108"/>
  <c r="F13" i="109"/>
  <c r="F13" i="105"/>
  <c r="F13" i="107"/>
  <c r="F13" i="106"/>
  <c r="F13" i="110"/>
  <c r="F13" i="112"/>
  <c r="F13" i="117"/>
  <c r="F13" i="116"/>
  <c r="F13" i="111"/>
  <c r="F13" i="115"/>
  <c r="F13" i="114"/>
  <c r="F13" i="113"/>
  <c r="F14" i="106"/>
  <c r="F14" i="108"/>
  <c r="F14" i="105"/>
  <c r="F14" i="110"/>
  <c r="F14" i="107"/>
  <c r="F14" i="104"/>
  <c r="F14" i="109"/>
  <c r="G14" i="108"/>
  <c r="G14" i="105"/>
  <c r="G14" i="110"/>
  <c r="G14" i="107"/>
  <c r="G14" i="104"/>
  <c r="G14" i="109"/>
  <c r="G14" i="106"/>
  <c r="C14" i="106"/>
  <c r="C14" i="108"/>
  <c r="C14" i="105"/>
  <c r="C14" i="110"/>
  <c r="C14" i="107"/>
  <c r="C14" i="104"/>
  <c r="C14" i="109"/>
  <c r="I14" i="113"/>
  <c r="I14" i="117"/>
  <c r="I14" i="116"/>
  <c r="I14" i="114"/>
  <c r="I14" i="115"/>
  <c r="I14" i="111"/>
  <c r="I14" i="112"/>
  <c r="I15" i="111"/>
  <c r="I15" i="117"/>
  <c r="I15" i="113"/>
  <c r="I15" i="116"/>
  <c r="I15" i="112"/>
  <c r="I15" i="115"/>
  <c r="I15" i="114"/>
  <c r="G15" i="105"/>
  <c r="G15" i="106"/>
  <c r="G15" i="107"/>
  <c r="G15" i="108"/>
  <c r="G15" i="104"/>
  <c r="G15" i="109"/>
  <c r="G15" i="110"/>
  <c r="E15" i="110"/>
  <c r="E15" i="105"/>
  <c r="E15" i="106"/>
  <c r="E15" i="107"/>
  <c r="E15" i="108"/>
  <c r="E15" i="104"/>
  <c r="E15" i="109"/>
  <c r="C15" i="110"/>
  <c r="C15" i="105"/>
  <c r="C15" i="106"/>
  <c r="C15" i="107"/>
  <c r="C15" i="108"/>
  <c r="C15" i="104"/>
  <c r="C15" i="109"/>
  <c r="E16" i="115"/>
  <c r="E16" i="116"/>
  <c r="E16" i="117"/>
  <c r="E16" i="112"/>
  <c r="E16" i="113"/>
  <c r="E16" i="111"/>
  <c r="E16" i="114"/>
  <c r="H16" i="115"/>
  <c r="H16" i="116"/>
  <c r="H16" i="117"/>
  <c r="H16" i="112"/>
  <c r="H16" i="113"/>
  <c r="H16" i="111"/>
  <c r="H16" i="114"/>
  <c r="F17" i="115"/>
  <c r="F17" i="117"/>
  <c r="F17" i="112"/>
  <c r="F17" i="114"/>
  <c r="F17" i="113"/>
  <c r="F17" i="111"/>
  <c r="F17" i="116"/>
  <c r="C19" i="106"/>
  <c r="C19" i="110"/>
  <c r="C19" i="105"/>
  <c r="C19" i="107"/>
  <c r="C19" i="109"/>
  <c r="C19" i="104"/>
  <c r="C19" i="108"/>
  <c r="G19" i="105"/>
  <c r="G19" i="109"/>
  <c r="G19" i="104"/>
  <c r="G19" i="108"/>
  <c r="G19" i="107"/>
  <c r="G19" i="110"/>
  <c r="G19" i="106"/>
  <c r="C19" i="112"/>
  <c r="C19" i="111"/>
  <c r="C19" i="113"/>
  <c r="C19" i="114"/>
  <c r="C19" i="115"/>
  <c r="C19" i="116"/>
  <c r="C19" i="117"/>
  <c r="F19" i="105"/>
  <c r="F19" i="106"/>
  <c r="F19" i="109"/>
  <c r="F19" i="110"/>
  <c r="F19" i="104"/>
  <c r="F19" i="108"/>
  <c r="F19" i="107"/>
  <c r="E20" i="105"/>
  <c r="E20" i="108"/>
  <c r="E20" i="106"/>
  <c r="E20" i="109"/>
  <c r="E20" i="107"/>
  <c r="E20" i="104"/>
  <c r="E20" i="110"/>
  <c r="D20" i="105"/>
  <c r="D20" i="108"/>
  <c r="D20" i="106"/>
  <c r="D20" i="109"/>
  <c r="D20" i="107"/>
  <c r="D20" i="104"/>
  <c r="D20" i="110"/>
  <c r="G21" i="117"/>
  <c r="G21" i="116"/>
  <c r="G21" i="115"/>
  <c r="G21" i="114"/>
  <c r="G21" i="113"/>
  <c r="G21" i="112"/>
  <c r="G21" i="111"/>
  <c r="H21" i="110"/>
  <c r="H21" i="109"/>
  <c r="H21" i="107"/>
  <c r="H21" i="108"/>
  <c r="H21" i="106"/>
  <c r="H21" i="105"/>
  <c r="H21" i="104"/>
  <c r="F21" i="105"/>
  <c r="F21" i="104"/>
  <c r="F21" i="110"/>
  <c r="F21" i="109"/>
  <c r="F21" i="107"/>
  <c r="F21" i="108"/>
  <c r="F21" i="106"/>
  <c r="E21" i="106"/>
  <c r="E21" i="105"/>
  <c r="E21" i="104"/>
  <c r="E21" i="110"/>
  <c r="E21" i="109"/>
  <c r="E21" i="107"/>
  <c r="E21" i="108"/>
  <c r="G22" i="117"/>
  <c r="G22" i="115"/>
  <c r="G22" i="113"/>
  <c r="G22" i="111"/>
  <c r="G22" i="116"/>
  <c r="G22" i="114"/>
  <c r="G22" i="112"/>
  <c r="H22" i="105"/>
  <c r="H22" i="107"/>
  <c r="H22" i="109"/>
  <c r="H22" i="110"/>
  <c r="H22" i="108"/>
  <c r="H22" i="106"/>
  <c r="H22" i="104"/>
  <c r="F22" i="106"/>
  <c r="F22" i="107"/>
  <c r="F22" i="108"/>
  <c r="F22" i="110"/>
  <c r="F22" i="104"/>
  <c r="F22" i="105"/>
  <c r="F22" i="109"/>
  <c r="I22" i="117"/>
  <c r="I22" i="115"/>
  <c r="I22" i="113"/>
  <c r="I22" i="111"/>
  <c r="I22" i="116"/>
  <c r="I22" i="114"/>
  <c r="I22" i="112"/>
  <c r="G22" i="108"/>
  <c r="G22" i="110"/>
  <c r="G22" i="104"/>
  <c r="G22" i="109"/>
  <c r="G22" i="105"/>
  <c r="G22" i="107"/>
  <c r="G22" i="106"/>
  <c r="I23" i="105"/>
  <c r="I23" i="104"/>
  <c r="I23" i="106"/>
  <c r="I23" i="107"/>
  <c r="I23" i="108"/>
  <c r="I23" i="109"/>
  <c r="I23" i="110"/>
  <c r="G23" i="117"/>
  <c r="G23" i="116"/>
  <c r="G23" i="115"/>
  <c r="G23" i="114"/>
  <c r="G23" i="113"/>
  <c r="G23" i="112"/>
  <c r="G23" i="111"/>
  <c r="E23" i="117"/>
  <c r="E23" i="116"/>
  <c r="E23" i="115"/>
  <c r="E23" i="114"/>
  <c r="E23" i="113"/>
  <c r="E23" i="112"/>
  <c r="E23" i="111"/>
  <c r="G24" i="115"/>
  <c r="G24" i="111"/>
  <c r="G24" i="114"/>
  <c r="E34" i="100"/>
  <c r="C24" i="116"/>
  <c r="C24" i="113"/>
  <c r="C24" i="117"/>
  <c r="C24" i="114"/>
  <c r="C24" i="111"/>
  <c r="C24" i="115"/>
  <c r="C24" i="112"/>
  <c r="D24" i="116"/>
  <c r="D24" i="113"/>
  <c r="D24" i="117"/>
  <c r="D24" i="114"/>
  <c r="D24" i="111"/>
  <c r="D24" i="115"/>
  <c r="D24" i="112"/>
  <c r="E24" i="116"/>
  <c r="E24" i="113"/>
  <c r="E24" i="117"/>
  <c r="E24" i="114"/>
  <c r="E24" i="111"/>
  <c r="E24" i="115"/>
  <c r="E24" i="112"/>
  <c r="E24" i="104"/>
  <c r="E24" i="106"/>
  <c r="E24" i="109"/>
  <c r="E24" i="105"/>
  <c r="E24" i="108"/>
  <c r="E24" i="107"/>
  <c r="E24" i="110"/>
  <c r="F18" i="105"/>
  <c r="F18" i="109"/>
  <c r="D21" i="100"/>
  <c r="D15" i="100"/>
  <c r="D9" i="100"/>
  <c r="D20" i="100"/>
  <c r="D14" i="100"/>
  <c r="D8" i="100"/>
  <c r="D25" i="100"/>
  <c r="D19" i="100"/>
  <c r="D13" i="100"/>
  <c r="D7" i="100"/>
  <c r="D24" i="100"/>
  <c r="D18" i="100"/>
  <c r="D12" i="100"/>
  <c r="D6" i="100"/>
  <c r="D23" i="100"/>
  <c r="D17" i="100"/>
  <c r="D11" i="100"/>
  <c r="D5" i="100"/>
  <c r="D22" i="100"/>
  <c r="D16" i="100"/>
  <c r="D10" i="100"/>
  <c r="AF24" i="96"/>
  <c r="D7" i="99" s="1"/>
  <c r="C7" i="99"/>
  <c r="E13" i="99"/>
  <c r="E12" i="99"/>
  <c r="E18" i="115"/>
  <c r="E18" i="116"/>
  <c r="E18" i="117"/>
  <c r="E18" i="111"/>
  <c r="E18" i="112"/>
  <c r="E18" i="113"/>
  <c r="E18" i="114"/>
  <c r="E18" i="106"/>
  <c r="E18" i="105"/>
  <c r="E18" i="104"/>
  <c r="E18" i="110"/>
  <c r="E18" i="109"/>
  <c r="E18" i="108"/>
  <c r="E18" i="107"/>
  <c r="Z50" i="96"/>
  <c r="C16" i="97"/>
  <c r="AH24" i="96"/>
  <c r="C9" i="99"/>
  <c r="AI24" i="96"/>
  <c r="C10" i="99"/>
  <c r="H18" i="116"/>
  <c r="H18" i="117"/>
  <c r="H18" i="111"/>
  <c r="H18" i="112"/>
  <c r="H18" i="113"/>
  <c r="H18" i="114"/>
  <c r="H18" i="115"/>
  <c r="F21" i="100"/>
  <c r="F15" i="100"/>
  <c r="F9" i="100"/>
  <c r="F20" i="100"/>
  <c r="F14" i="100"/>
  <c r="F8" i="100"/>
  <c r="F25" i="100"/>
  <c r="F19" i="100"/>
  <c r="F13" i="100"/>
  <c r="F7" i="100"/>
  <c r="F24" i="100"/>
  <c r="F18" i="100"/>
  <c r="F12" i="100"/>
  <c r="F6" i="100"/>
  <c r="F23" i="100"/>
  <c r="F17" i="100"/>
  <c r="F11" i="100"/>
  <c r="F5" i="100"/>
  <c r="F22" i="100"/>
  <c r="F16" i="100"/>
  <c r="F10" i="100"/>
  <c r="X50" i="96"/>
  <c r="C14" i="97"/>
  <c r="Y50" i="96"/>
  <c r="C15" i="97"/>
  <c r="AE24" i="96"/>
  <c r="C5" i="99"/>
  <c r="AJ24" i="96"/>
  <c r="C11" i="99"/>
  <c r="D8" i="99"/>
  <c r="D24" i="89"/>
  <c r="C26" i="68"/>
  <c r="M12" i="68"/>
  <c r="F20" i="67"/>
  <c r="D28" i="89"/>
  <c r="J13" i="89"/>
  <c r="D25" i="89"/>
  <c r="D21" i="89"/>
  <c r="C12" i="83"/>
  <c r="C12" i="68"/>
  <c r="F5" i="118"/>
  <c r="F8" i="118"/>
  <c r="G9" i="118"/>
  <c r="D29" i="89"/>
  <c r="D20" i="89"/>
  <c r="D12" i="118"/>
  <c r="J14" i="89"/>
  <c r="K14" i="89" s="1"/>
  <c r="F6" i="118"/>
  <c r="D11" i="118"/>
  <c r="E20" i="67"/>
  <c r="F7" i="118"/>
  <c r="F4" i="118"/>
  <c r="D22" i="89"/>
  <c r="D12" i="83"/>
  <c r="L12" i="68"/>
  <c r="D12" i="68"/>
  <c r="M12" i="118"/>
  <c r="N12" i="118" s="1"/>
  <c r="E12" i="118"/>
  <c r="L26" i="99"/>
  <c r="E11" i="83"/>
  <c r="G13" i="88"/>
  <c r="E11" i="68"/>
  <c r="M7" i="118"/>
  <c r="N7" i="118" s="1"/>
  <c r="E7" i="118"/>
  <c r="G7" i="118" s="1"/>
  <c r="M4" i="118"/>
  <c r="N4" i="118" s="1"/>
  <c r="E4" i="118"/>
  <c r="G14" i="88"/>
  <c r="M6" i="118"/>
  <c r="N6" i="118" s="1"/>
  <c r="E6" i="118"/>
  <c r="M5" i="118"/>
  <c r="N5" i="118" s="1"/>
  <c r="E5" i="118"/>
  <c r="K11" i="118"/>
  <c r="C11" i="118"/>
  <c r="J13" i="88"/>
  <c r="H13" i="88" s="1"/>
  <c r="E19" i="67"/>
  <c r="M8" i="118"/>
  <c r="N8" i="118" s="1"/>
  <c r="E8" i="118"/>
  <c r="K14" i="88"/>
  <c r="D11" i="83"/>
  <c r="L11" i="68"/>
  <c r="D11" i="68"/>
  <c r="H11" i="68" s="1"/>
  <c r="AD44" i="96"/>
  <c r="AF28" i="96"/>
  <c r="AE30" i="96"/>
  <c r="AD24" i="96"/>
  <c r="AI28" i="96"/>
  <c r="K52" i="96"/>
  <c r="W50" i="96"/>
  <c r="V50" i="96"/>
  <c r="O52" i="96"/>
  <c r="AE28" i="96"/>
  <c r="AH28" i="96"/>
  <c r="M52" i="96"/>
  <c r="AE27" i="96"/>
  <c r="B52" i="96"/>
  <c r="AH27" i="96"/>
  <c r="L52" i="96"/>
  <c r="AD46" i="96"/>
  <c r="AH30" i="96"/>
  <c r="N53" i="96"/>
  <c r="U50" i="96"/>
  <c r="N52" i="96"/>
  <c r="AH29" i="96"/>
  <c r="AE43" i="96"/>
  <c r="AD43" i="96"/>
  <c r="AE29" i="96"/>
  <c r="D21" i="88"/>
  <c r="F25" i="106" l="1"/>
  <c r="F25" i="105"/>
  <c r="F8" i="99"/>
  <c r="I25" i="115"/>
  <c r="I25" i="114"/>
  <c r="C8" i="103"/>
  <c r="F25" i="107"/>
  <c r="K18" i="107" s="1"/>
  <c r="F25" i="104"/>
  <c r="F25" i="109"/>
  <c r="F25" i="110"/>
  <c r="I25" i="116"/>
  <c r="I25" i="112"/>
  <c r="I25" i="111"/>
  <c r="E11" i="99"/>
  <c r="I25" i="117"/>
  <c r="K25" i="117" s="1"/>
  <c r="H7" i="100"/>
  <c r="H17" i="100"/>
  <c r="H20" i="100"/>
  <c r="N50" i="96"/>
  <c r="E25" i="108" s="1"/>
  <c r="AD42" i="96"/>
  <c r="M50" i="96"/>
  <c r="C6" i="103" s="1"/>
  <c r="K24" i="117"/>
  <c r="K23" i="117"/>
  <c r="K21" i="117"/>
  <c r="K20" i="117"/>
  <c r="K14" i="117"/>
  <c r="K18" i="117"/>
  <c r="K6" i="117"/>
  <c r="K7" i="117"/>
  <c r="K11" i="117"/>
  <c r="K13" i="117"/>
  <c r="K17" i="117"/>
  <c r="K5" i="117"/>
  <c r="K19" i="117"/>
  <c r="K4" i="117"/>
  <c r="K22" i="117"/>
  <c r="K12" i="117"/>
  <c r="K10" i="117"/>
  <c r="K16" i="117"/>
  <c r="K9" i="117"/>
  <c r="K8" i="117"/>
  <c r="K15" i="117"/>
  <c r="AI27" i="96"/>
  <c r="AI29" i="96" s="1"/>
  <c r="H16" i="100"/>
  <c r="H19" i="100"/>
  <c r="H22" i="100"/>
  <c r="H25" i="100"/>
  <c r="H5" i="100"/>
  <c r="H8" i="100"/>
  <c r="AE32" i="96"/>
  <c r="AE42" i="96"/>
  <c r="E4" i="100" s="1"/>
  <c r="F13" i="99"/>
  <c r="F12" i="99"/>
  <c r="D6" i="99"/>
  <c r="C13" i="103"/>
  <c r="C12" i="103"/>
  <c r="E9" i="99"/>
  <c r="G25" i="116"/>
  <c r="G25" i="117"/>
  <c r="G25" i="111"/>
  <c r="G25" i="112"/>
  <c r="G25" i="113"/>
  <c r="G25" i="114"/>
  <c r="G25" i="115"/>
  <c r="Q50" i="96"/>
  <c r="D10" i="99"/>
  <c r="H11" i="100"/>
  <c r="H14" i="100"/>
  <c r="E6" i="99"/>
  <c r="C25" i="114"/>
  <c r="C25" i="115"/>
  <c r="C25" i="116"/>
  <c r="C25" i="117"/>
  <c r="C25" i="111"/>
  <c r="C25" i="112"/>
  <c r="C25" i="113"/>
  <c r="E8" i="99"/>
  <c r="F25" i="116"/>
  <c r="F25" i="117"/>
  <c r="F25" i="111"/>
  <c r="F25" i="112"/>
  <c r="F25" i="113"/>
  <c r="F25" i="114"/>
  <c r="F25" i="115"/>
  <c r="H23" i="100"/>
  <c r="H9" i="100"/>
  <c r="H6" i="100"/>
  <c r="H15" i="100"/>
  <c r="H12" i="100"/>
  <c r="H21" i="100"/>
  <c r="D9" i="99"/>
  <c r="P50" i="96"/>
  <c r="H18" i="100"/>
  <c r="H24" i="100"/>
  <c r="AH32" i="96"/>
  <c r="E5" i="99"/>
  <c r="D25" i="115"/>
  <c r="D25" i="116"/>
  <c r="D25" i="117"/>
  <c r="D25" i="111"/>
  <c r="D25" i="112"/>
  <c r="D25" i="113"/>
  <c r="D25" i="114"/>
  <c r="E7" i="99"/>
  <c r="E25" i="115"/>
  <c r="E25" i="116"/>
  <c r="E25" i="117"/>
  <c r="E25" i="111"/>
  <c r="E25" i="112"/>
  <c r="E25" i="113"/>
  <c r="K25" i="113" s="1"/>
  <c r="E25" i="114"/>
  <c r="D11" i="99"/>
  <c r="R50" i="96"/>
  <c r="E10" i="99"/>
  <c r="H25" i="117"/>
  <c r="H25" i="111"/>
  <c r="H25" i="112"/>
  <c r="H25" i="113"/>
  <c r="H25" i="114"/>
  <c r="H25" i="115"/>
  <c r="H25" i="116"/>
  <c r="K25" i="116" s="1"/>
  <c r="H10" i="100"/>
  <c r="H13" i="100"/>
  <c r="G8" i="118"/>
  <c r="I11" i="68"/>
  <c r="G5" i="118"/>
  <c r="I22" i="89"/>
  <c r="H13" i="89"/>
  <c r="K13" i="89"/>
  <c r="H14" i="89"/>
  <c r="G4" i="118"/>
  <c r="B45" i="98"/>
  <c r="B44" i="98"/>
  <c r="B43" i="98"/>
  <c r="B39" i="98"/>
  <c r="B42" i="98"/>
  <c r="B41" i="98"/>
  <c r="B40" i="98"/>
  <c r="B37" i="98"/>
  <c r="B38" i="98"/>
  <c r="I12" i="68"/>
  <c r="H12" i="68"/>
  <c r="B11" i="98"/>
  <c r="B10" i="98"/>
  <c r="B9" i="98"/>
  <c r="B8" i="98"/>
  <c r="B7" i="98"/>
  <c r="B4" i="98"/>
  <c r="B6" i="98"/>
  <c r="B5" i="98"/>
  <c r="B3" i="98"/>
  <c r="G6" i="118"/>
  <c r="B5" i="54"/>
  <c r="B11" i="54"/>
  <c r="M11" i="118"/>
  <c r="N11" i="118" s="1"/>
  <c r="E11" i="118"/>
  <c r="G19" i="67"/>
  <c r="I26" i="99"/>
  <c r="E16" i="88"/>
  <c r="K13" i="88"/>
  <c r="B38" i="54"/>
  <c r="B37" i="54"/>
  <c r="B45" i="54"/>
  <c r="B44" i="54"/>
  <c r="B43" i="54"/>
  <c r="B42" i="54"/>
  <c r="B39" i="54"/>
  <c r="B41" i="54"/>
  <c r="B40" i="54"/>
  <c r="F19" i="67"/>
  <c r="L50" i="96"/>
  <c r="AD45" i="96"/>
  <c r="AD47" i="96" s="1"/>
  <c r="AF27" i="96"/>
  <c r="AF29" i="96" s="1"/>
  <c r="AE44" i="96"/>
  <c r="M53" i="96"/>
  <c r="K12" i="107" l="1"/>
  <c r="K20" i="107"/>
  <c r="K6" i="107"/>
  <c r="K23" i="107"/>
  <c r="K4" i="107"/>
  <c r="K13" i="107"/>
  <c r="K11" i="107"/>
  <c r="K25" i="107"/>
  <c r="K22" i="107"/>
  <c r="K14" i="107"/>
  <c r="K17" i="107"/>
  <c r="K7" i="107"/>
  <c r="L6" i="107" s="1"/>
  <c r="K5" i="107"/>
  <c r="K10" i="107"/>
  <c r="K19" i="107"/>
  <c r="E25" i="104"/>
  <c r="E25" i="105"/>
  <c r="K9" i="107"/>
  <c r="K8" i="107"/>
  <c r="K24" i="107"/>
  <c r="K16" i="107"/>
  <c r="K21" i="107"/>
  <c r="K15" i="107"/>
  <c r="E25" i="107"/>
  <c r="E25" i="110"/>
  <c r="C7" i="103"/>
  <c r="D25" i="106"/>
  <c r="F7" i="99"/>
  <c r="D25" i="105"/>
  <c r="K25" i="105" s="1"/>
  <c r="F5" i="99"/>
  <c r="D25" i="108"/>
  <c r="D25" i="107"/>
  <c r="D25" i="109"/>
  <c r="D25" i="104"/>
  <c r="D25" i="110"/>
  <c r="E25" i="109"/>
  <c r="E25" i="106"/>
  <c r="M6" i="117"/>
  <c r="M23" i="117"/>
  <c r="L20" i="117"/>
  <c r="K25" i="111"/>
  <c r="K23" i="111"/>
  <c r="K7" i="111"/>
  <c r="K10" i="111"/>
  <c r="K13" i="111"/>
  <c r="K24" i="111"/>
  <c r="K9" i="111"/>
  <c r="K8" i="111"/>
  <c r="K6" i="111"/>
  <c r="K15" i="111"/>
  <c r="K14" i="111"/>
  <c r="K4" i="111"/>
  <c r="K20" i="111"/>
  <c r="K21" i="111"/>
  <c r="K11" i="111"/>
  <c r="K18" i="111"/>
  <c r="K12" i="111"/>
  <c r="K22" i="111"/>
  <c r="K19" i="111"/>
  <c r="K16" i="111"/>
  <c r="K5" i="111"/>
  <c r="K17" i="111"/>
  <c r="K17" i="116"/>
  <c r="K22" i="116"/>
  <c r="K9" i="113"/>
  <c r="K20" i="113"/>
  <c r="K25" i="115"/>
  <c r="K15" i="115"/>
  <c r="K21" i="115"/>
  <c r="K24" i="115"/>
  <c r="K8" i="115"/>
  <c r="K10" i="115"/>
  <c r="K23" i="115"/>
  <c r="K7" i="115"/>
  <c r="K22" i="115"/>
  <c r="K17" i="115"/>
  <c r="K13" i="115"/>
  <c r="K19" i="115"/>
  <c r="K6" i="115"/>
  <c r="K18" i="115"/>
  <c r="K5" i="115"/>
  <c r="K12" i="115"/>
  <c r="K16" i="115"/>
  <c r="K11" i="115"/>
  <c r="K20" i="115"/>
  <c r="K4" i="115"/>
  <c r="K14" i="115"/>
  <c r="K9" i="115"/>
  <c r="K21" i="116"/>
  <c r="K20" i="116"/>
  <c r="K10" i="113"/>
  <c r="K7" i="113"/>
  <c r="K16" i="116"/>
  <c r="K23" i="116"/>
  <c r="K6" i="113"/>
  <c r="K15" i="113"/>
  <c r="K5" i="116"/>
  <c r="K4" i="113"/>
  <c r="K8" i="113"/>
  <c r="K15" i="116"/>
  <c r="AH31" i="96"/>
  <c r="K25" i="112"/>
  <c r="K20" i="112"/>
  <c r="K22" i="112"/>
  <c r="K8" i="112"/>
  <c r="K24" i="112"/>
  <c r="K7" i="112"/>
  <c r="K5" i="112"/>
  <c r="K13" i="112"/>
  <c r="K6" i="112"/>
  <c r="K19" i="112"/>
  <c r="K10" i="112"/>
  <c r="K23" i="112"/>
  <c r="K21" i="112"/>
  <c r="K18" i="112"/>
  <c r="K11" i="112"/>
  <c r="K17" i="112"/>
  <c r="K4" i="112"/>
  <c r="K12" i="112"/>
  <c r="K9" i="112"/>
  <c r="K16" i="112"/>
  <c r="K15" i="112"/>
  <c r="K14" i="112"/>
  <c r="K14" i="116"/>
  <c r="K10" i="116"/>
  <c r="K23" i="113"/>
  <c r="K14" i="113"/>
  <c r="K9" i="116"/>
  <c r="K24" i="116"/>
  <c r="K17" i="113"/>
  <c r="K24" i="105"/>
  <c r="K5" i="105"/>
  <c r="K4" i="105"/>
  <c r="K9" i="105"/>
  <c r="K11" i="105"/>
  <c r="K6" i="105"/>
  <c r="K15" i="105"/>
  <c r="K17" i="105"/>
  <c r="K20" i="105"/>
  <c r="K13" i="105"/>
  <c r="K8" i="105"/>
  <c r="K10" i="105"/>
  <c r="K16" i="105"/>
  <c r="K19" i="105"/>
  <c r="K14" i="105"/>
  <c r="K22" i="105"/>
  <c r="K12" i="105"/>
  <c r="K7" i="105"/>
  <c r="K18" i="105"/>
  <c r="K21" i="105"/>
  <c r="K23" i="105"/>
  <c r="K13" i="116"/>
  <c r="K11" i="113"/>
  <c r="K4" i="116"/>
  <c r="K18" i="113"/>
  <c r="K12" i="116"/>
  <c r="K22" i="113"/>
  <c r="K5" i="113"/>
  <c r="M25" i="117"/>
  <c r="M13" i="117"/>
  <c r="M9" i="117"/>
  <c r="L25" i="117"/>
  <c r="M11" i="117"/>
  <c r="M5" i="117"/>
  <c r="L19" i="117"/>
  <c r="L15" i="117"/>
  <c r="L6" i="117"/>
  <c r="L7" i="117"/>
  <c r="L9" i="117"/>
  <c r="L23" i="117"/>
  <c r="L12" i="117"/>
  <c r="M22" i="117"/>
  <c r="L11" i="117"/>
  <c r="M20" i="117"/>
  <c r="L5" i="117"/>
  <c r="M14" i="117"/>
  <c r="M4" i="117"/>
  <c r="M18" i="117"/>
  <c r="L21" i="117"/>
  <c r="M16" i="117"/>
  <c r="M24" i="117"/>
  <c r="M8" i="117"/>
  <c r="L22" i="117"/>
  <c r="L14" i="117"/>
  <c r="L16" i="117"/>
  <c r="M12" i="117"/>
  <c r="M15" i="117"/>
  <c r="L8" i="117"/>
  <c r="L10" i="117"/>
  <c r="L24" i="117"/>
  <c r="M19" i="117"/>
  <c r="M21" i="117"/>
  <c r="L4" i="117"/>
  <c r="M17" i="117"/>
  <c r="M7" i="117"/>
  <c r="K19" i="116"/>
  <c r="K24" i="113"/>
  <c r="K11" i="116"/>
  <c r="K19" i="113"/>
  <c r="L18" i="117"/>
  <c r="K18" i="116"/>
  <c r="K8" i="116"/>
  <c r="K12" i="113"/>
  <c r="K21" i="113"/>
  <c r="M10" i="117"/>
  <c r="L13" i="117"/>
  <c r="K7" i="116"/>
  <c r="K6" i="116"/>
  <c r="K16" i="113"/>
  <c r="K13" i="113"/>
  <c r="L17" i="117"/>
  <c r="P11" i="99"/>
  <c r="P10" i="99"/>
  <c r="P5" i="99"/>
  <c r="P6" i="99"/>
  <c r="P9" i="99"/>
  <c r="P8" i="99"/>
  <c r="P7" i="99"/>
  <c r="AE31" i="96"/>
  <c r="F9" i="99"/>
  <c r="G25" i="105"/>
  <c r="G25" i="104"/>
  <c r="G25" i="110"/>
  <c r="G25" i="109"/>
  <c r="G25" i="108"/>
  <c r="G25" i="107"/>
  <c r="G25" i="106"/>
  <c r="C9" i="103"/>
  <c r="F10" i="99"/>
  <c r="H25" i="110"/>
  <c r="H25" i="109"/>
  <c r="H25" i="108"/>
  <c r="H25" i="107"/>
  <c r="H25" i="106"/>
  <c r="C10" i="103"/>
  <c r="H25" i="105"/>
  <c r="H25" i="104"/>
  <c r="F11" i="99"/>
  <c r="I25" i="110"/>
  <c r="I25" i="109"/>
  <c r="I25" i="108"/>
  <c r="I25" i="107"/>
  <c r="I25" i="106"/>
  <c r="C11" i="103"/>
  <c r="I25" i="105"/>
  <c r="I25" i="104"/>
  <c r="K19" i="114"/>
  <c r="K10" i="114"/>
  <c r="K4" i="114"/>
  <c r="K16" i="114"/>
  <c r="K20" i="114"/>
  <c r="K22" i="114"/>
  <c r="K9" i="114"/>
  <c r="K15" i="114"/>
  <c r="K23" i="114"/>
  <c r="K8" i="114"/>
  <c r="K6" i="114"/>
  <c r="K17" i="114"/>
  <c r="K24" i="114"/>
  <c r="K12" i="114"/>
  <c r="K7" i="114"/>
  <c r="K13" i="114"/>
  <c r="K25" i="114"/>
  <c r="K14" i="114"/>
  <c r="K18" i="114"/>
  <c r="K21" i="114"/>
  <c r="K5" i="114"/>
  <c r="K11" i="114"/>
  <c r="L5" i="107"/>
  <c r="F6" i="99"/>
  <c r="C25" i="107"/>
  <c r="C25" i="106"/>
  <c r="C5" i="103"/>
  <c r="C25" i="105"/>
  <c r="C25" i="104"/>
  <c r="C25" i="110"/>
  <c r="C25" i="109"/>
  <c r="C25" i="108"/>
  <c r="B7" i="54"/>
  <c r="F12" i="118"/>
  <c r="G12" i="118" s="1"/>
  <c r="L27" i="99"/>
  <c r="B30" i="98"/>
  <c r="B33" i="98"/>
  <c r="B32" i="98"/>
  <c r="B29" i="98"/>
  <c r="B31" i="98"/>
  <c r="B26" i="98"/>
  <c r="B25" i="98"/>
  <c r="B27" i="98"/>
  <c r="B28" i="98"/>
  <c r="F11" i="118"/>
  <c r="G11" i="118" s="1"/>
  <c r="C46" i="54"/>
  <c r="C47" i="54"/>
  <c r="B10" i="54"/>
  <c r="B9" i="54"/>
  <c r="B33" i="54"/>
  <c r="B32" i="54"/>
  <c r="B31" i="54"/>
  <c r="B30" i="54"/>
  <c r="B29" i="54"/>
  <c r="B28" i="54"/>
  <c r="B27" i="54"/>
  <c r="B26" i="54"/>
  <c r="B25" i="54"/>
  <c r="B8" i="54"/>
  <c r="B3" i="54"/>
  <c r="B4" i="54"/>
  <c r="B6" i="54"/>
  <c r="B21" i="54"/>
  <c r="B20" i="54"/>
  <c r="B19" i="54"/>
  <c r="B22" i="54"/>
  <c r="B18" i="54"/>
  <c r="B17" i="54"/>
  <c r="B16" i="54"/>
  <c r="B15" i="54"/>
  <c r="B14" i="54"/>
  <c r="J11" i="81"/>
  <c r="J7" i="81"/>
  <c r="J6" i="81"/>
  <c r="I12" i="81"/>
  <c r="I11" i="81"/>
  <c r="I10" i="81"/>
  <c r="I9" i="81"/>
  <c r="I8" i="81"/>
  <c r="I7" i="81"/>
  <c r="I6" i="81"/>
  <c r="F12" i="81"/>
  <c r="F11" i="81"/>
  <c r="G11" i="81" s="1"/>
  <c r="F10" i="81"/>
  <c r="F9" i="81"/>
  <c r="F8" i="81"/>
  <c r="F7" i="81"/>
  <c r="F6" i="81"/>
  <c r="E12" i="81"/>
  <c r="E11" i="81"/>
  <c r="E10" i="81"/>
  <c r="E9" i="81"/>
  <c r="E8" i="81"/>
  <c r="E7" i="81"/>
  <c r="E6" i="81"/>
  <c r="E14" i="81" s="1"/>
  <c r="D12" i="81"/>
  <c r="D11" i="81"/>
  <c r="D10" i="81"/>
  <c r="D9" i="81"/>
  <c r="D14" i="81" s="1"/>
  <c r="D8" i="81"/>
  <c r="D7" i="81"/>
  <c r="D6" i="81"/>
  <c r="K6" i="81" s="1"/>
  <c r="L4" i="107" l="1"/>
  <c r="M4" i="107"/>
  <c r="M5" i="107"/>
  <c r="M6" i="107"/>
  <c r="M7" i="107"/>
  <c r="M9" i="107"/>
  <c r="L7" i="107"/>
  <c r="L11" i="107"/>
  <c r="M13" i="107"/>
  <c r="L13" i="107"/>
  <c r="L15" i="107"/>
  <c r="L19" i="107"/>
  <c r="M10" i="107"/>
  <c r="M12" i="107"/>
  <c r="M8" i="107"/>
  <c r="L10" i="107"/>
  <c r="L22" i="107"/>
  <c r="M14" i="107"/>
  <c r="M11" i="107"/>
  <c r="L9" i="107"/>
  <c r="L8" i="107"/>
  <c r="L12" i="107"/>
  <c r="L14" i="107"/>
  <c r="M19" i="107"/>
  <c r="M20" i="107"/>
  <c r="L17" i="107"/>
  <c r="L16" i="107"/>
  <c r="L18" i="107"/>
  <c r="M17" i="107"/>
  <c r="M15" i="107"/>
  <c r="M16" i="107"/>
  <c r="L21" i="107"/>
  <c r="M25" i="107"/>
  <c r="L23" i="107"/>
  <c r="L24" i="107"/>
  <c r="M23" i="107"/>
  <c r="M22" i="107"/>
  <c r="L25" i="107"/>
  <c r="L20" i="107"/>
  <c r="M18" i="107"/>
  <c r="M21" i="107"/>
  <c r="M24" i="107"/>
  <c r="L14" i="115"/>
  <c r="M24" i="111"/>
  <c r="L10" i="116"/>
  <c r="L21" i="112"/>
  <c r="M11" i="113"/>
  <c r="D6" i="103"/>
  <c r="M16" i="112"/>
  <c r="M25" i="116"/>
  <c r="M8" i="115"/>
  <c r="M8" i="111"/>
  <c r="M9" i="105"/>
  <c r="L11" i="112"/>
  <c r="M23" i="105"/>
  <c r="L25" i="113"/>
  <c r="L15" i="115"/>
  <c r="M6" i="116"/>
  <c r="L18" i="105"/>
  <c r="L17" i="113"/>
  <c r="M16" i="115"/>
  <c r="L9" i="105"/>
  <c r="M23" i="116"/>
  <c r="L8" i="111"/>
  <c r="M15" i="115"/>
  <c r="L14" i="105"/>
  <c r="M15" i="113"/>
  <c r="L6" i="112"/>
  <c r="L21" i="116"/>
  <c r="L21" i="111"/>
  <c r="K25" i="106"/>
  <c r="K24" i="106"/>
  <c r="K19" i="106"/>
  <c r="K4" i="106"/>
  <c r="K5" i="106"/>
  <c r="K6" i="106"/>
  <c r="K17" i="106"/>
  <c r="K10" i="106"/>
  <c r="K23" i="106"/>
  <c r="K8" i="106"/>
  <c r="K16" i="106"/>
  <c r="K11" i="106"/>
  <c r="K21" i="106"/>
  <c r="K22" i="106"/>
  <c r="K15" i="106"/>
  <c r="K9" i="106"/>
  <c r="K12" i="106"/>
  <c r="K14" i="106"/>
  <c r="K18" i="106"/>
  <c r="K13" i="106"/>
  <c r="K7" i="106"/>
  <c r="K20" i="106"/>
  <c r="L19" i="105"/>
  <c r="L9" i="113"/>
  <c r="M13" i="112"/>
  <c r="L24" i="115"/>
  <c r="M18" i="115"/>
  <c r="L11" i="115"/>
  <c r="M22" i="115"/>
  <c r="M13" i="111"/>
  <c r="L17" i="111"/>
  <c r="M11" i="111"/>
  <c r="L7" i="111"/>
  <c r="M24" i="116"/>
  <c r="M8" i="116"/>
  <c r="M12" i="116"/>
  <c r="M18" i="105"/>
  <c r="L20" i="105"/>
  <c r="M11" i="105"/>
  <c r="M20" i="113"/>
  <c r="L12" i="113"/>
  <c r="M22" i="112"/>
  <c r="L13" i="112"/>
  <c r="L24" i="112"/>
  <c r="L5" i="112"/>
  <c r="M15" i="116"/>
  <c r="L4" i="112"/>
  <c r="L16" i="111"/>
  <c r="M10" i="111"/>
  <c r="L9" i="111"/>
  <c r="L19" i="111"/>
  <c r="M21" i="116"/>
  <c r="M16" i="116"/>
  <c r="M9" i="116"/>
  <c r="L10" i="105"/>
  <c r="M4" i="105"/>
  <c r="L24" i="105"/>
  <c r="M17" i="113"/>
  <c r="M24" i="113"/>
  <c r="M12" i="112"/>
  <c r="M6" i="112"/>
  <c r="L15" i="113"/>
  <c r="M21" i="113"/>
  <c r="M19" i="112"/>
  <c r="L10" i="112"/>
  <c r="L20" i="113"/>
  <c r="L12" i="112"/>
  <c r="M13" i="105"/>
  <c r="M4" i="112"/>
  <c r="L16" i="115"/>
  <c r="M21" i="111"/>
  <c r="M14" i="111"/>
  <c r="M14" i="116"/>
  <c r="M15" i="105"/>
  <c r="L23" i="105"/>
  <c r="L13" i="115"/>
  <c r="L12" i="115"/>
  <c r="M19" i="115"/>
  <c r="L9" i="115"/>
  <c r="M25" i="111"/>
  <c r="L18" i="111"/>
  <c r="M12" i="111"/>
  <c r="M9" i="111"/>
  <c r="L6" i="116"/>
  <c r="M5" i="116"/>
  <c r="L16" i="105"/>
  <c r="M8" i="105"/>
  <c r="L7" i="105"/>
  <c r="L21" i="113"/>
  <c r="L5" i="113"/>
  <c r="M18" i="112"/>
  <c r="L19" i="112"/>
  <c r="L21" i="115"/>
  <c r="L4" i="111"/>
  <c r="L17" i="115"/>
  <c r="L23" i="111"/>
  <c r="M17" i="111"/>
  <c r="L8" i="116"/>
  <c r="M20" i="116"/>
  <c r="M21" i="105"/>
  <c r="L6" i="105"/>
  <c r="M7" i="105"/>
  <c r="L13" i="113"/>
  <c r="L18" i="113"/>
  <c r="M25" i="112"/>
  <c r="M24" i="112"/>
  <c r="L19" i="116"/>
  <c r="M25" i="105"/>
  <c r="M6" i="105"/>
  <c r="L17" i="116"/>
  <c r="M7" i="116"/>
  <c r="M24" i="115"/>
  <c r="M20" i="115"/>
  <c r="M7" i="111"/>
  <c r="L4" i="115"/>
  <c r="L22" i="115"/>
  <c r="M10" i="115"/>
  <c r="L22" i="111"/>
  <c r="M16" i="111"/>
  <c r="L15" i="111"/>
  <c r="L10" i="111"/>
  <c r="L5" i="116"/>
  <c r="L9" i="116"/>
  <c r="L5" i="105"/>
  <c r="M16" i="105"/>
  <c r="L21" i="105"/>
  <c r="M6" i="113"/>
  <c r="L11" i="113"/>
  <c r="M11" i="112"/>
  <c r="L16" i="112"/>
  <c r="L7" i="115"/>
  <c r="M5" i="115"/>
  <c r="L13" i="111"/>
  <c r="L17" i="105"/>
  <c r="M14" i="115"/>
  <c r="L20" i="115"/>
  <c r="L14" i="111"/>
  <c r="M6" i="115"/>
  <c r="M9" i="115"/>
  <c r="L6" i="115"/>
  <c r="L25" i="111"/>
  <c r="L20" i="111"/>
  <c r="M20" i="111"/>
  <c r="M15" i="111"/>
  <c r="L18" i="116"/>
  <c r="L7" i="116"/>
  <c r="L22" i="105"/>
  <c r="M14" i="105"/>
  <c r="L13" i="105"/>
  <c r="L19" i="113"/>
  <c r="L14" i="113"/>
  <c r="L9" i="112"/>
  <c r="M15" i="112"/>
  <c r="L25" i="115"/>
  <c r="L12" i="111"/>
  <c r="L25" i="116"/>
  <c r="L5" i="111"/>
  <c r="L8" i="115"/>
  <c r="L19" i="115"/>
  <c r="M7" i="115"/>
  <c r="M25" i="115"/>
  <c r="L6" i="111"/>
  <c r="L24" i="111"/>
  <c r="M18" i="111"/>
  <c r="L14" i="116"/>
  <c r="L24" i="116"/>
  <c r="L8" i="105"/>
  <c r="M22" i="105"/>
  <c r="M8" i="113"/>
  <c r="M12" i="113"/>
  <c r="M19" i="113"/>
  <c r="M10" i="112"/>
  <c r="M17" i="112"/>
  <c r="L25" i="112"/>
  <c r="M6" i="111"/>
  <c r="M4" i="115"/>
  <c r="M11" i="115"/>
  <c r="L5" i="115"/>
  <c r="L11" i="111"/>
  <c r="M5" i="111"/>
  <c r="L11" i="116"/>
  <c r="L15" i="116"/>
  <c r="L11" i="105"/>
  <c r="M20" i="105"/>
  <c r="M5" i="113"/>
  <c r="L10" i="113"/>
  <c r="M7" i="112"/>
  <c r="M20" i="112"/>
  <c r="L22" i="112"/>
  <c r="L15" i="105"/>
  <c r="L15" i="112"/>
  <c r="M13" i="113"/>
  <c r="M13" i="115"/>
  <c r="M19" i="111"/>
  <c r="M23" i="115"/>
  <c r="M21" i="115"/>
  <c r="M12" i="115"/>
  <c r="L23" i="115"/>
  <c r="M23" i="111"/>
  <c r="M17" i="115"/>
  <c r="L10" i="115"/>
  <c r="L18" i="115"/>
  <c r="M4" i="111"/>
  <c r="M22" i="111"/>
  <c r="M18" i="116"/>
  <c r="L20" i="116"/>
  <c r="L12" i="105"/>
  <c r="M19" i="105"/>
  <c r="M22" i="113"/>
  <c r="M9" i="113"/>
  <c r="M25" i="113"/>
  <c r="L23" i="112"/>
  <c r="M23" i="112"/>
  <c r="M4" i="113"/>
  <c r="M10" i="113"/>
  <c r="K25" i="108"/>
  <c r="K8" i="108"/>
  <c r="K18" i="108"/>
  <c r="K10" i="108"/>
  <c r="K11" i="108"/>
  <c r="K14" i="108"/>
  <c r="K15" i="108"/>
  <c r="K16" i="108"/>
  <c r="K9" i="108"/>
  <c r="K23" i="108"/>
  <c r="K21" i="108"/>
  <c r="K13" i="108"/>
  <c r="K19" i="108"/>
  <c r="K7" i="108"/>
  <c r="K20" i="108"/>
  <c r="K24" i="108"/>
  <c r="K17" i="108"/>
  <c r="K4" i="108"/>
  <c r="K6" i="108"/>
  <c r="K5" i="108"/>
  <c r="K12" i="108"/>
  <c r="K22" i="108"/>
  <c r="L16" i="116"/>
  <c r="M4" i="116"/>
  <c r="M11" i="116"/>
  <c r="L4" i="116"/>
  <c r="M7" i="113"/>
  <c r="L14" i="112"/>
  <c r="M8" i="112"/>
  <c r="L18" i="112"/>
  <c r="M21" i="112"/>
  <c r="L8" i="113"/>
  <c r="D11" i="103"/>
  <c r="L22" i="116"/>
  <c r="M10" i="116"/>
  <c r="M17" i="116"/>
  <c r="L25" i="105"/>
  <c r="M10" i="105"/>
  <c r="M17" i="105"/>
  <c r="L4" i="105"/>
  <c r="L7" i="113"/>
  <c r="L20" i="112"/>
  <c r="M14" i="112"/>
  <c r="M9" i="112"/>
  <c r="L8" i="112"/>
  <c r="L23" i="113"/>
  <c r="L24" i="113"/>
  <c r="M18" i="113"/>
  <c r="K15" i="104"/>
  <c r="K17" i="104"/>
  <c r="K11" i="104"/>
  <c r="K5" i="104"/>
  <c r="K8" i="104"/>
  <c r="K7" i="104"/>
  <c r="K13" i="104"/>
  <c r="K10" i="104"/>
  <c r="K20" i="104"/>
  <c r="K12" i="104"/>
  <c r="K18" i="104"/>
  <c r="K23" i="104"/>
  <c r="K22" i="104"/>
  <c r="K21" i="104"/>
  <c r="K19" i="104"/>
  <c r="K6" i="104"/>
  <c r="K24" i="104"/>
  <c r="K14" i="104"/>
  <c r="K16" i="104"/>
  <c r="K9" i="104"/>
  <c r="K25" i="109"/>
  <c r="K21" i="109"/>
  <c r="K7" i="109"/>
  <c r="K13" i="109"/>
  <c r="K19" i="109"/>
  <c r="K24" i="109"/>
  <c r="K20" i="109"/>
  <c r="K5" i="109"/>
  <c r="K6" i="109"/>
  <c r="K11" i="109"/>
  <c r="K8" i="109"/>
  <c r="K14" i="109"/>
  <c r="K4" i="109"/>
  <c r="K15" i="109"/>
  <c r="K10" i="109"/>
  <c r="K18" i="109"/>
  <c r="K16" i="109"/>
  <c r="K22" i="109"/>
  <c r="K17" i="109"/>
  <c r="K12" i="109"/>
  <c r="K9" i="109"/>
  <c r="K23" i="109"/>
  <c r="M13" i="116"/>
  <c r="L23" i="116"/>
  <c r="L13" i="116"/>
  <c r="M16" i="113"/>
  <c r="M23" i="113"/>
  <c r="L16" i="113"/>
  <c r="D9" i="103"/>
  <c r="L12" i="116"/>
  <c r="M19" i="116"/>
  <c r="M22" i="116"/>
  <c r="M12" i="105"/>
  <c r="M24" i="105"/>
  <c r="M5" i="105"/>
  <c r="M14" i="113"/>
  <c r="L4" i="113"/>
  <c r="L22" i="113"/>
  <c r="L17" i="112"/>
  <c r="M5" i="112"/>
  <c r="L7" i="112"/>
  <c r="D13" i="103"/>
  <c r="L6" i="113"/>
  <c r="M20" i="114"/>
  <c r="M16" i="114"/>
  <c r="L17" i="114"/>
  <c r="M23" i="114"/>
  <c r="M11" i="114"/>
  <c r="M13" i="114"/>
  <c r="M18" i="114"/>
  <c r="M8" i="114"/>
  <c r="M21" i="114"/>
  <c r="L13" i="114"/>
  <c r="M5" i="114"/>
  <c r="L16" i="114"/>
  <c r="L15" i="114"/>
  <c r="M10" i="114"/>
  <c r="L11" i="114"/>
  <c r="M12" i="114"/>
  <c r="L14" i="114"/>
  <c r="M7" i="114"/>
  <c r="L7" i="114"/>
  <c r="M9" i="114"/>
  <c r="M4" i="114"/>
  <c r="M15" i="114"/>
  <c r="M17" i="114"/>
  <c r="L9" i="114"/>
  <c r="L23" i="114"/>
  <c r="L10" i="114"/>
  <c r="L12" i="114"/>
  <c r="M22" i="114"/>
  <c r="L22" i="114"/>
  <c r="L5" i="114"/>
  <c r="L6" i="114"/>
  <c r="L25" i="114"/>
  <c r="L20" i="114"/>
  <c r="L4" i="114"/>
  <c r="L18" i="114"/>
  <c r="L19" i="114"/>
  <c r="M19" i="114"/>
  <c r="M24" i="114"/>
  <c r="L24" i="114"/>
  <c r="M14" i="114"/>
  <c r="L8" i="114"/>
  <c r="L21" i="114"/>
  <c r="M25" i="114"/>
  <c r="D7" i="103"/>
  <c r="D10" i="103"/>
  <c r="B23" i="102"/>
  <c r="B21" i="102"/>
  <c r="B22" i="102"/>
  <c r="B24" i="102"/>
  <c r="B18" i="102"/>
  <c r="B20" i="102"/>
  <c r="B19" i="102"/>
  <c r="B25" i="102"/>
  <c r="M6" i="114"/>
  <c r="O25" i="104"/>
  <c r="K25" i="104"/>
  <c r="D5" i="103"/>
  <c r="D8" i="103"/>
  <c r="D12" i="103"/>
  <c r="B15" i="98"/>
  <c r="B22" i="98"/>
  <c r="B21" i="98"/>
  <c r="B14" i="98"/>
  <c r="B20" i="98"/>
  <c r="B19" i="98"/>
  <c r="B18" i="98"/>
  <c r="B17" i="98"/>
  <c r="B16" i="98"/>
  <c r="J8" i="81"/>
  <c r="J9" i="81"/>
  <c r="J10" i="81"/>
  <c r="D13" i="81"/>
  <c r="J12" i="81"/>
  <c r="E13" i="81"/>
  <c r="I13" i="81"/>
  <c r="F13" i="81"/>
  <c r="I14" i="81"/>
  <c r="G12" i="81"/>
  <c r="K11" i="81"/>
  <c r="H11" i="81"/>
  <c r="F14" i="81"/>
  <c r="K7" i="81"/>
  <c r="H7" i="81"/>
  <c r="D49" i="98" l="1"/>
  <c r="M17" i="108"/>
  <c r="M17" i="109"/>
  <c r="L11" i="109"/>
  <c r="L9" i="108"/>
  <c r="M9" i="109"/>
  <c r="L14" i="108"/>
  <c r="M18" i="110"/>
  <c r="M13" i="109"/>
  <c r="M9" i="108"/>
  <c r="L17" i="106"/>
  <c r="L22" i="106"/>
  <c r="M6" i="106"/>
  <c r="L19" i="106"/>
  <c r="M11" i="106"/>
  <c r="L14" i="106"/>
  <c r="M15" i="106"/>
  <c r="L21" i="106"/>
  <c r="M14" i="106"/>
  <c r="M10" i="106"/>
  <c r="L16" i="106"/>
  <c r="M23" i="106"/>
  <c r="L15" i="106"/>
  <c r="L5" i="106"/>
  <c r="M21" i="106"/>
  <c r="L18" i="106"/>
  <c r="L11" i="106"/>
  <c r="M18" i="106"/>
  <c r="L24" i="106"/>
  <c r="M5" i="106"/>
  <c r="M13" i="106"/>
  <c r="L25" i="106"/>
  <c r="L7" i="106"/>
  <c r="M8" i="106"/>
  <c r="L8" i="106"/>
  <c r="M9" i="106"/>
  <c r="M12" i="106"/>
  <c r="M22" i="106"/>
  <c r="M4" i="106"/>
  <c r="L10" i="106"/>
  <c r="M17" i="106"/>
  <c r="L23" i="106"/>
  <c r="L9" i="106"/>
  <c r="M25" i="106"/>
  <c r="L20" i="106"/>
  <c r="M24" i="106"/>
  <c r="L6" i="106"/>
  <c r="M7" i="106"/>
  <c r="M20" i="106"/>
  <c r="M19" i="106"/>
  <c r="L12" i="106"/>
  <c r="M16" i="106"/>
  <c r="L4" i="106"/>
  <c r="L13" i="106"/>
  <c r="M24" i="110"/>
  <c r="M4" i="109"/>
  <c r="L6" i="108"/>
  <c r="M13" i="110"/>
  <c r="L7" i="109"/>
  <c r="M18" i="109"/>
  <c r="L14" i="109"/>
  <c r="L16" i="108"/>
  <c r="M23" i="108"/>
  <c r="L15" i="108"/>
  <c r="L11" i="110"/>
  <c r="L12" i="108"/>
  <c r="L24" i="109"/>
  <c r="L10" i="109"/>
  <c r="M19" i="109"/>
  <c r="L25" i="108"/>
  <c r="M18" i="108"/>
  <c r="L8" i="108"/>
  <c r="L17" i="110"/>
  <c r="L23" i="109"/>
  <c r="M15" i="109"/>
  <c r="L23" i="108"/>
  <c r="M13" i="108"/>
  <c r="M21" i="108"/>
  <c r="L20" i="108"/>
  <c r="M10" i="110"/>
  <c r="L9" i="109"/>
  <c r="L7" i="108"/>
  <c r="M23" i="109"/>
  <c r="L17" i="109"/>
  <c r="M16" i="109"/>
  <c r="L15" i="109"/>
  <c r="L12" i="109"/>
  <c r="M25" i="109"/>
  <c r="L21" i="108"/>
  <c r="L22" i="108"/>
  <c r="M11" i="108"/>
  <c r="L24" i="108"/>
  <c r="L24" i="110"/>
  <c r="M8" i="110"/>
  <c r="L25" i="109"/>
  <c r="M10" i="109"/>
  <c r="M8" i="109"/>
  <c r="L13" i="109"/>
  <c r="M24" i="109"/>
  <c r="L11" i="108"/>
  <c r="M5" i="108"/>
  <c r="M16" i="108"/>
  <c r="M6" i="108"/>
  <c r="M6" i="110"/>
  <c r="M22" i="110"/>
  <c r="L20" i="110"/>
  <c r="M21" i="109"/>
  <c r="L20" i="109"/>
  <c r="M4" i="108"/>
  <c r="M5" i="109"/>
  <c r="M7" i="109"/>
  <c r="M12" i="108"/>
  <c r="M24" i="108"/>
  <c r="L19" i="108"/>
  <c r="M23" i="110"/>
  <c r="M20" i="110"/>
  <c r="M22" i="108"/>
  <c r="L6" i="109"/>
  <c r="M8" i="108"/>
  <c r="M22" i="109"/>
  <c r="M6" i="109"/>
  <c r="L5" i="109"/>
  <c r="M20" i="108"/>
  <c r="M25" i="108"/>
  <c r="L4" i="108"/>
  <c r="L5" i="108"/>
  <c r="M9" i="110"/>
  <c r="L9" i="110"/>
  <c r="L23" i="110"/>
  <c r="L16" i="110"/>
  <c r="M11" i="109"/>
  <c r="L21" i="109"/>
  <c r="L22" i="109"/>
  <c r="M10" i="108"/>
  <c r="M15" i="108"/>
  <c r="L13" i="108"/>
  <c r="L19" i="110"/>
  <c r="M12" i="109"/>
  <c r="M14" i="108"/>
  <c r="L18" i="109"/>
  <c r="L8" i="109"/>
  <c r="M7" i="108"/>
  <c r="L17" i="108"/>
  <c r="M20" i="109"/>
  <c r="L4" i="109"/>
  <c r="M19" i="108"/>
  <c r="L18" i="108"/>
  <c r="L22" i="110"/>
  <c r="M16" i="110"/>
  <c r="M11" i="110"/>
  <c r="L8" i="110"/>
  <c r="L18" i="110"/>
  <c r="M17" i="110"/>
  <c r="L10" i="110"/>
  <c r="M14" i="110"/>
  <c r="L15" i="110"/>
  <c r="M15" i="110"/>
  <c r="L14" i="110"/>
  <c r="M5" i="110"/>
  <c r="L7" i="110"/>
  <c r="L25" i="110"/>
  <c r="M19" i="110"/>
  <c r="L12" i="110"/>
  <c r="M21" i="110"/>
  <c r="L21" i="110"/>
  <c r="M14" i="109"/>
  <c r="L19" i="109"/>
  <c r="L16" i="109"/>
  <c r="L10" i="108"/>
  <c r="L13" i="110"/>
  <c r="M7" i="110"/>
  <c r="M25" i="110"/>
  <c r="M12" i="110"/>
  <c r="F8" i="103"/>
  <c r="F10" i="103"/>
  <c r="F5" i="103"/>
  <c r="F12" i="103"/>
  <c r="F7" i="103"/>
  <c r="F9" i="103"/>
  <c r="F11" i="103"/>
  <c r="F6" i="103"/>
  <c r="M15" i="104"/>
  <c r="M18" i="104"/>
  <c r="M23" i="104"/>
  <c r="L15" i="104"/>
  <c r="M20" i="104"/>
  <c r="L19" i="104"/>
  <c r="M12" i="104"/>
  <c r="M5" i="104"/>
  <c r="L13" i="104"/>
  <c r="L21" i="104"/>
  <c r="M17" i="104"/>
  <c r="L12" i="104"/>
  <c r="L7" i="104"/>
  <c r="L9" i="104"/>
  <c r="M14" i="104"/>
  <c r="M22" i="104"/>
  <c r="M6" i="104"/>
  <c r="M16" i="104"/>
  <c r="M10" i="104"/>
  <c r="L8" i="104"/>
  <c r="M8" i="104"/>
  <c r="L18" i="104"/>
  <c r="M25" i="104"/>
  <c r="L23" i="104"/>
  <c r="M7" i="104"/>
  <c r="L6" i="104"/>
  <c r="L16" i="104"/>
  <c r="M19" i="104"/>
  <c r="L20" i="104"/>
  <c r="M4" i="104"/>
  <c r="L17" i="104"/>
  <c r="M13" i="104"/>
  <c r="L14" i="104"/>
  <c r="L22" i="104"/>
  <c r="L11" i="104"/>
  <c r="L5" i="104"/>
  <c r="L24" i="104"/>
  <c r="M21" i="104"/>
  <c r="L10" i="104"/>
  <c r="M24" i="104"/>
  <c r="L25" i="104"/>
  <c r="L4" i="104"/>
  <c r="M9" i="104"/>
  <c r="M11" i="104"/>
  <c r="D10" i="83"/>
  <c r="D10" i="68"/>
  <c r="C10" i="83"/>
  <c r="C10" i="68"/>
  <c r="J14" i="81"/>
  <c r="E10" i="83"/>
  <c r="E10" i="68"/>
  <c r="G13" i="81"/>
  <c r="G14" i="81"/>
  <c r="J13" i="81"/>
  <c r="F18" i="67" l="1"/>
  <c r="I49" i="28"/>
  <c r="I48" i="28"/>
  <c r="I47" i="28"/>
  <c r="I46" i="28"/>
  <c r="I45" i="28"/>
  <c r="I44" i="28"/>
  <c r="I43" i="28"/>
  <c r="I41" i="28"/>
  <c r="I40" i="28"/>
  <c r="I39" i="28"/>
  <c r="I38" i="28"/>
  <c r="I37" i="28"/>
  <c r="I36" i="28"/>
  <c r="I35" i="28"/>
  <c r="I33" i="28"/>
  <c r="I32" i="28"/>
  <c r="I31" i="28"/>
  <c r="I30" i="28"/>
  <c r="I29" i="28"/>
  <c r="I28" i="28"/>
  <c r="I27" i="28"/>
  <c r="AI10" i="28"/>
  <c r="F49" i="28"/>
  <c r="F48" i="28"/>
  <c r="F47" i="28"/>
  <c r="F46" i="28"/>
  <c r="F45" i="28"/>
  <c r="F44" i="28"/>
  <c r="F43" i="28"/>
  <c r="F41" i="28"/>
  <c r="F40" i="28"/>
  <c r="F39" i="28"/>
  <c r="F38" i="28"/>
  <c r="F37" i="28"/>
  <c r="F36" i="28"/>
  <c r="F35" i="28"/>
  <c r="F33" i="28"/>
  <c r="F32" i="28"/>
  <c r="F31" i="28"/>
  <c r="F30" i="28"/>
  <c r="F29" i="28"/>
  <c r="F28" i="28"/>
  <c r="F27" i="28"/>
  <c r="E49" i="28"/>
  <c r="E48" i="28"/>
  <c r="E47" i="28"/>
  <c r="E46" i="28"/>
  <c r="E45" i="28"/>
  <c r="E44" i="28"/>
  <c r="E43" i="28"/>
  <c r="E41" i="28"/>
  <c r="E40" i="28"/>
  <c r="E39" i="28"/>
  <c r="E38" i="28"/>
  <c r="E37" i="28"/>
  <c r="E36" i="28"/>
  <c r="E35" i="28"/>
  <c r="E33" i="28"/>
  <c r="E32" i="28"/>
  <c r="E31" i="28"/>
  <c r="E30" i="28"/>
  <c r="E29" i="28"/>
  <c r="E28" i="28"/>
  <c r="E27" i="28"/>
  <c r="D27" i="28"/>
  <c r="D49" i="28"/>
  <c r="D48" i="28"/>
  <c r="D47" i="28"/>
  <c r="D46" i="28"/>
  <c r="D45" i="28"/>
  <c r="D44" i="28"/>
  <c r="D43" i="28"/>
  <c r="D41" i="28"/>
  <c r="D40" i="28"/>
  <c r="D39" i="28"/>
  <c r="D38" i="28"/>
  <c r="D37" i="28"/>
  <c r="D36" i="28"/>
  <c r="D35" i="28"/>
  <c r="D33" i="28"/>
  <c r="D32" i="28"/>
  <c r="D31" i="28"/>
  <c r="D30" i="28"/>
  <c r="D29" i="28"/>
  <c r="D28" i="28"/>
  <c r="D45" i="54" l="1"/>
  <c r="D26" i="54"/>
  <c r="D28" i="54"/>
  <c r="D44" i="54"/>
  <c r="E50" i="28"/>
  <c r="I50" i="28"/>
  <c r="H50" i="28"/>
  <c r="F50" i="28"/>
  <c r="G50" i="28"/>
  <c r="C49" i="28"/>
  <c r="C48" i="28"/>
  <c r="C47" i="28"/>
  <c r="C46" i="28"/>
  <c r="C45" i="28"/>
  <c r="C44" i="28"/>
  <c r="C43" i="28"/>
  <c r="C41" i="28"/>
  <c r="C40" i="28"/>
  <c r="C39" i="28"/>
  <c r="C38" i="28"/>
  <c r="C37" i="28"/>
  <c r="C36" i="28"/>
  <c r="C35" i="28"/>
  <c r="C33" i="28"/>
  <c r="C32" i="28"/>
  <c r="C31" i="28"/>
  <c r="C30" i="28"/>
  <c r="C29" i="28"/>
  <c r="C28" i="28"/>
  <c r="C27" i="28"/>
  <c r="AD3" i="28" s="1"/>
  <c r="D39" i="54" l="1"/>
  <c r="D38" i="54"/>
  <c r="D40" i="54"/>
  <c r="D31" i="54"/>
  <c r="D30" i="54"/>
  <c r="D29" i="54"/>
  <c r="D27" i="54"/>
  <c r="D33" i="54"/>
  <c r="D41" i="54"/>
  <c r="D42" i="54"/>
  <c r="D43" i="54"/>
  <c r="C50" i="28"/>
  <c r="D48" i="54" l="1"/>
  <c r="D49" i="54"/>
  <c r="D34" i="54"/>
  <c r="AD24" i="28"/>
  <c r="I13" i="58" l="1"/>
  <c r="I25" i="60"/>
  <c r="I24" i="60"/>
  <c r="I23" i="60"/>
  <c r="I22" i="60"/>
  <c r="I20" i="60"/>
  <c r="I18" i="60"/>
  <c r="I17" i="60"/>
  <c r="I16" i="60"/>
  <c r="I15" i="60"/>
  <c r="I13" i="60"/>
  <c r="I12" i="60"/>
  <c r="I11" i="60"/>
  <c r="I10" i="60"/>
  <c r="I9" i="60"/>
  <c r="I8" i="60"/>
  <c r="I7" i="60"/>
  <c r="I6" i="60"/>
  <c r="I5" i="60"/>
  <c r="I27" i="58"/>
  <c r="I26" i="58"/>
  <c r="I25" i="58"/>
  <c r="I24" i="58"/>
  <c r="I23" i="58"/>
  <c r="I22" i="58"/>
  <c r="I21" i="58"/>
  <c r="I20" i="58"/>
  <c r="I19" i="58"/>
  <c r="I18" i="58"/>
  <c r="I17" i="58"/>
  <c r="I16" i="58"/>
  <c r="I15" i="58"/>
  <c r="I12" i="58"/>
  <c r="I11" i="58"/>
  <c r="I10" i="58"/>
  <c r="I9" i="58"/>
  <c r="I8" i="58"/>
  <c r="I7" i="58"/>
  <c r="I6" i="58"/>
  <c r="I5" i="58"/>
  <c r="I27" i="57"/>
  <c r="I26" i="57"/>
  <c r="I25" i="57"/>
  <c r="I24" i="57"/>
  <c r="I22" i="57"/>
  <c r="I20" i="57"/>
  <c r="I18" i="57"/>
  <c r="I17" i="57"/>
  <c r="I16" i="57"/>
  <c r="I15" i="57"/>
  <c r="I12" i="57"/>
  <c r="I11" i="57"/>
  <c r="I10" i="57"/>
  <c r="I9" i="57"/>
  <c r="I8" i="57"/>
  <c r="I7" i="57"/>
  <c r="I6" i="57"/>
  <c r="I5" i="57"/>
  <c r="I27" i="56"/>
  <c r="I26" i="56"/>
  <c r="I25" i="56"/>
  <c r="I24" i="56"/>
  <c r="I23" i="56"/>
  <c r="I22" i="56"/>
  <c r="I20" i="56"/>
  <c r="I18" i="56"/>
  <c r="I17" i="56"/>
  <c r="I16" i="56"/>
  <c r="I15" i="56"/>
  <c r="I13" i="56"/>
  <c r="I12" i="56"/>
  <c r="I11" i="56"/>
  <c r="I10" i="56"/>
  <c r="I9" i="56"/>
  <c r="I8" i="56"/>
  <c r="I7" i="56"/>
  <c r="I6" i="56"/>
  <c r="I5" i="56"/>
  <c r="I30" i="71"/>
  <c r="I27" i="71"/>
  <c r="I24" i="71"/>
  <c r="I22" i="71"/>
  <c r="I20" i="71"/>
  <c r="I19" i="71"/>
  <c r="I18" i="71"/>
  <c r="I17" i="71"/>
  <c r="I16" i="71"/>
  <c r="I15" i="71"/>
  <c r="I12" i="71"/>
  <c r="I11" i="71"/>
  <c r="I10" i="71"/>
  <c r="I9" i="71"/>
  <c r="I8" i="71"/>
  <c r="I7" i="71"/>
  <c r="I6" i="71"/>
  <c r="I5" i="71"/>
  <c r="I30" i="74"/>
  <c r="I28" i="74"/>
  <c r="I27" i="74"/>
  <c r="I24" i="74"/>
  <c r="I22" i="74"/>
  <c r="I20" i="74"/>
  <c r="I18" i="74"/>
  <c r="I17" i="74"/>
  <c r="I16" i="74"/>
  <c r="I15" i="74"/>
  <c r="I11" i="74"/>
  <c r="I10" i="74"/>
  <c r="I9" i="74"/>
  <c r="I8" i="74"/>
  <c r="I7" i="74"/>
  <c r="I6" i="74"/>
  <c r="I5" i="74"/>
  <c r="H32" i="60"/>
  <c r="H30" i="60"/>
  <c r="H29" i="60"/>
  <c r="G32" i="60"/>
  <c r="I32" i="60" s="1"/>
  <c r="G30" i="60"/>
  <c r="G29" i="60"/>
  <c r="I29" i="60" s="1"/>
  <c r="F32" i="60"/>
  <c r="F30" i="60"/>
  <c r="F29" i="60"/>
  <c r="E30" i="60"/>
  <c r="H32" i="58"/>
  <c r="H30" i="58"/>
  <c r="H29" i="58"/>
  <c r="G32" i="58"/>
  <c r="I32" i="58" s="1"/>
  <c r="G30" i="58"/>
  <c r="G29" i="58"/>
  <c r="F32" i="58"/>
  <c r="F30" i="58"/>
  <c r="F29" i="58"/>
  <c r="E32" i="58"/>
  <c r="E30" i="58"/>
  <c r="E29" i="58"/>
  <c r="H32" i="57"/>
  <c r="H30" i="57"/>
  <c r="H29" i="57"/>
  <c r="G32" i="57"/>
  <c r="G30" i="57"/>
  <c r="G29" i="57"/>
  <c r="F32" i="57"/>
  <c r="F30" i="57"/>
  <c r="F29" i="57"/>
  <c r="E32" i="57"/>
  <c r="E30" i="57"/>
  <c r="E29" i="57"/>
  <c r="H32" i="56"/>
  <c r="H30" i="56"/>
  <c r="I30" i="56" s="1"/>
  <c r="H29" i="56"/>
  <c r="I29" i="56" s="1"/>
  <c r="G32" i="56"/>
  <c r="G30" i="56"/>
  <c r="G29" i="56"/>
  <c r="F32" i="56"/>
  <c r="F30" i="56"/>
  <c r="F29" i="56"/>
  <c r="E32" i="56"/>
  <c r="E29" i="56"/>
  <c r="H35" i="71"/>
  <c r="H32" i="71"/>
  <c r="G35" i="71"/>
  <c r="G32" i="71"/>
  <c r="F35" i="71"/>
  <c r="F32" i="71"/>
  <c r="E35" i="71"/>
  <c r="E32" i="71"/>
  <c r="H35" i="74"/>
  <c r="H32" i="74"/>
  <c r="G35" i="74"/>
  <c r="I35" i="74" s="1"/>
  <c r="G32" i="74"/>
  <c r="F35" i="74"/>
  <c r="F32" i="74"/>
  <c r="I6" i="76" l="1"/>
  <c r="J6" i="76" s="1"/>
  <c r="E35" i="77"/>
  <c r="E32" i="77"/>
  <c r="H6" i="81" l="1"/>
  <c r="I12" i="76"/>
  <c r="I11" i="76"/>
  <c r="I10" i="76"/>
  <c r="I9" i="76"/>
  <c r="J9" i="76" s="1"/>
  <c r="I8" i="76"/>
  <c r="I7" i="76"/>
  <c r="I12" i="66"/>
  <c r="J12" i="66" s="1"/>
  <c r="F12" i="66"/>
  <c r="E12" i="66"/>
  <c r="D12" i="66"/>
  <c r="I12" i="65"/>
  <c r="J12" i="65" s="1"/>
  <c r="F12" i="65"/>
  <c r="E12" i="65"/>
  <c r="D12" i="65"/>
  <c r="I12" i="64"/>
  <c r="J12" i="64" s="1"/>
  <c r="F12" i="64"/>
  <c r="E12" i="64"/>
  <c r="D12" i="64"/>
  <c r="I12" i="63"/>
  <c r="F12" i="63"/>
  <c r="E12" i="63"/>
  <c r="D12" i="63"/>
  <c r="I12" i="69"/>
  <c r="F12" i="69"/>
  <c r="E12" i="69"/>
  <c r="D12" i="69"/>
  <c r="I12" i="73"/>
  <c r="F12" i="73"/>
  <c r="E12" i="73"/>
  <c r="D12" i="73"/>
  <c r="G12" i="69" l="1"/>
  <c r="J12" i="73"/>
  <c r="K12" i="73" s="1"/>
  <c r="J7" i="76"/>
  <c r="I14" i="76"/>
  <c r="I13" i="76"/>
  <c r="J11" i="76"/>
  <c r="J8" i="76"/>
  <c r="J10" i="76"/>
  <c r="J12" i="76"/>
  <c r="G12" i="66"/>
  <c r="G12" i="65"/>
  <c r="G12" i="64"/>
  <c r="H12" i="66"/>
  <c r="K12" i="66"/>
  <c r="H12" i="65"/>
  <c r="K12" i="65"/>
  <c r="K12" i="64"/>
  <c r="H12" i="64"/>
  <c r="J12" i="63"/>
  <c r="K12" i="63" s="1"/>
  <c r="G12" i="63"/>
  <c r="H12" i="63"/>
  <c r="J12" i="69"/>
  <c r="H12" i="69" s="1"/>
  <c r="G12" i="73"/>
  <c r="H12" i="73"/>
  <c r="K12" i="69" l="1"/>
  <c r="J13" i="76"/>
  <c r="J14" i="76"/>
  <c r="E17" i="67"/>
  <c r="I32" i="74"/>
  <c r="I35" i="71"/>
  <c r="I32" i="71"/>
  <c r="I32" i="56"/>
  <c r="I32" i="57"/>
  <c r="I29" i="57"/>
  <c r="I29" i="58"/>
  <c r="AA23" i="28" l="1"/>
  <c r="AA22" i="28"/>
  <c r="AA21" i="28"/>
  <c r="AA20" i="28"/>
  <c r="AA19" i="28"/>
  <c r="AA18" i="28"/>
  <c r="AA17" i="28"/>
  <c r="AA16" i="28"/>
  <c r="AA15" i="28"/>
  <c r="AA14" i="28"/>
  <c r="AA13" i="28"/>
  <c r="AA12" i="28"/>
  <c r="AA11" i="28"/>
  <c r="AA10" i="28"/>
  <c r="AA9" i="28"/>
  <c r="AA8" i="28"/>
  <c r="AA7" i="28"/>
  <c r="AA6" i="28"/>
  <c r="AA5" i="28"/>
  <c r="AA4" i="28"/>
  <c r="AA3" i="28"/>
  <c r="R23" i="28"/>
  <c r="R22" i="28"/>
  <c r="R21" i="28"/>
  <c r="R20" i="28"/>
  <c r="R19" i="28"/>
  <c r="R18" i="28"/>
  <c r="R17" i="28"/>
  <c r="R16" i="28"/>
  <c r="R15" i="28"/>
  <c r="R14" i="28"/>
  <c r="R13" i="28"/>
  <c r="R12" i="28"/>
  <c r="R11" i="28"/>
  <c r="R10" i="28"/>
  <c r="R9" i="28"/>
  <c r="R8" i="28"/>
  <c r="R7" i="28"/>
  <c r="R6" i="28"/>
  <c r="R5" i="28"/>
  <c r="R4" i="28"/>
  <c r="R3" i="28"/>
  <c r="AJ23" i="28"/>
  <c r="AJ22" i="28"/>
  <c r="AJ21" i="28"/>
  <c r="AJ20" i="28"/>
  <c r="AJ19" i="28"/>
  <c r="AJ18" i="28"/>
  <c r="AJ17" i="28"/>
  <c r="AJ16" i="28"/>
  <c r="AJ15" i="28"/>
  <c r="AJ14" i="28"/>
  <c r="AJ13" i="28"/>
  <c r="AJ12" i="28"/>
  <c r="AJ11" i="28"/>
  <c r="AJ10" i="28"/>
  <c r="AJ9" i="28"/>
  <c r="AJ8" i="28"/>
  <c r="AJ7" i="28"/>
  <c r="AJ6" i="28"/>
  <c r="AJ5" i="28"/>
  <c r="AJ4" i="28"/>
  <c r="AJ3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I9" i="28"/>
  <c r="I8" i="28"/>
  <c r="I7" i="28"/>
  <c r="I6" i="28"/>
  <c r="I5" i="28"/>
  <c r="I4" i="28"/>
  <c r="I3" i="28"/>
  <c r="R29" i="28" l="1"/>
  <c r="R31" i="28"/>
  <c r="R32" i="28"/>
  <c r="R33" i="28"/>
  <c r="AA46" i="28"/>
  <c r="R47" i="28"/>
  <c r="R43" i="28"/>
  <c r="R46" i="28"/>
  <c r="R45" i="28"/>
  <c r="F36" i="77"/>
  <c r="E36" i="77"/>
  <c r="R36" i="28"/>
  <c r="R49" i="28"/>
  <c r="R37" i="28"/>
  <c r="R38" i="28"/>
  <c r="H36" i="77"/>
  <c r="R40" i="28"/>
  <c r="G36" i="77"/>
  <c r="R28" i="28"/>
  <c r="R41" i="28"/>
  <c r="AA30" i="28"/>
  <c r="R30" i="28"/>
  <c r="R35" i="28"/>
  <c r="R39" i="28"/>
  <c r="R44" i="28"/>
  <c r="R48" i="28"/>
  <c r="AA28" i="28"/>
  <c r="AA32" i="28"/>
  <c r="AA48" i="28"/>
  <c r="AA27" i="28"/>
  <c r="AA31" i="28"/>
  <c r="AA36" i="28"/>
  <c r="AA40" i="28"/>
  <c r="AA45" i="28"/>
  <c r="AA49" i="28"/>
  <c r="AA37" i="28"/>
  <c r="AA41" i="28"/>
  <c r="I24" i="28"/>
  <c r="AA29" i="28"/>
  <c r="AA33" i="28"/>
  <c r="AA38" i="28"/>
  <c r="AA43" i="28"/>
  <c r="AA47" i="28"/>
  <c r="AA35" i="28"/>
  <c r="AA39" i="28"/>
  <c r="AA44" i="28"/>
  <c r="R27" i="28"/>
  <c r="AA24" i="28"/>
  <c r="R24" i="28"/>
  <c r="AJ24" i="28" l="1"/>
  <c r="AA50" i="28"/>
  <c r="I15" i="77" l="1"/>
  <c r="E8" i="76"/>
  <c r="D11" i="76"/>
  <c r="K11" i="76" s="1"/>
  <c r="E11" i="76"/>
  <c r="I16" i="77"/>
  <c r="I28" i="77"/>
  <c r="I11" i="77"/>
  <c r="D12" i="76"/>
  <c r="K12" i="76" s="1"/>
  <c r="K12" i="81"/>
  <c r="E12" i="76"/>
  <c r="D9" i="76"/>
  <c r="K9" i="76" s="1"/>
  <c r="K9" i="81"/>
  <c r="H12" i="81"/>
  <c r="D10" i="76"/>
  <c r="K10" i="76" s="1"/>
  <c r="K10" i="81"/>
  <c r="E9" i="76"/>
  <c r="E13" i="76" s="1"/>
  <c r="E6" i="76"/>
  <c r="E10" i="76"/>
  <c r="H10" i="81"/>
  <c r="H8" i="81"/>
  <c r="H9" i="81"/>
  <c r="D6" i="76"/>
  <c r="D8" i="76"/>
  <c r="K8" i="76" s="1"/>
  <c r="K8" i="81"/>
  <c r="I30" i="77"/>
  <c r="I27" i="77"/>
  <c r="I20" i="77"/>
  <c r="I5" i="77"/>
  <c r="J36" i="77"/>
  <c r="H32" i="77"/>
  <c r="H35" i="77"/>
  <c r="F7" i="76"/>
  <c r="I9" i="77"/>
  <c r="I17" i="77"/>
  <c r="F12" i="76"/>
  <c r="K6" i="76"/>
  <c r="I8" i="77"/>
  <c r="F9" i="76"/>
  <c r="I24" i="77"/>
  <c r="F11" i="76"/>
  <c r="F32" i="77"/>
  <c r="F35" i="77"/>
  <c r="D7" i="76"/>
  <c r="I7" i="77"/>
  <c r="F8" i="76"/>
  <c r="G32" i="77"/>
  <c r="G35" i="77"/>
  <c r="E7" i="76"/>
  <c r="I6" i="77"/>
  <c r="F6" i="76"/>
  <c r="I10" i="77"/>
  <c r="I14" i="77"/>
  <c r="I18" i="77"/>
  <c r="I22" i="77"/>
  <c r="F10" i="76"/>
  <c r="R50" i="28"/>
  <c r="H14" i="81" l="1"/>
  <c r="H13" i="81"/>
  <c r="K13" i="81"/>
  <c r="E14" i="76"/>
  <c r="D9" i="68"/>
  <c r="G8" i="76"/>
  <c r="H8" i="76"/>
  <c r="K7" i="76"/>
  <c r="J35" i="77"/>
  <c r="I35" i="77"/>
  <c r="G6" i="76"/>
  <c r="F14" i="76"/>
  <c r="F13" i="76"/>
  <c r="H6" i="76"/>
  <c r="G12" i="76"/>
  <c r="H12" i="76"/>
  <c r="I32" i="77"/>
  <c r="G10" i="76"/>
  <c r="H10" i="76"/>
  <c r="D13" i="76"/>
  <c r="K13" i="76" s="1"/>
  <c r="G11" i="76"/>
  <c r="H11" i="76"/>
  <c r="G9" i="76"/>
  <c r="H9" i="76"/>
  <c r="D14" i="76"/>
  <c r="G7" i="76"/>
  <c r="H7" i="76"/>
  <c r="G18" i="67" l="1"/>
  <c r="K14" i="81"/>
  <c r="G14" i="76"/>
  <c r="H14" i="76"/>
  <c r="C9" i="68"/>
  <c r="K14" i="76"/>
  <c r="G13" i="76"/>
  <c r="H13" i="76"/>
  <c r="X3" i="28"/>
  <c r="W3" i="28"/>
  <c r="V3" i="28"/>
  <c r="U3" i="28"/>
  <c r="O3" i="28"/>
  <c r="N3" i="28"/>
  <c r="M3" i="28"/>
  <c r="L3" i="28"/>
  <c r="F3" i="28"/>
  <c r="E3" i="28"/>
  <c r="D3" i="28"/>
  <c r="C3" i="28"/>
  <c r="J14" i="75"/>
  <c r="G17" i="67" l="1"/>
  <c r="D7" i="73" l="1"/>
  <c r="E8" i="73"/>
  <c r="F9" i="73"/>
  <c r="D11" i="73"/>
  <c r="I8" i="73"/>
  <c r="D6" i="73"/>
  <c r="E7" i="73"/>
  <c r="F8" i="73"/>
  <c r="D10" i="73"/>
  <c r="E11" i="73"/>
  <c r="I9" i="73"/>
  <c r="E6" i="73"/>
  <c r="F7" i="73"/>
  <c r="D9" i="73"/>
  <c r="E10" i="73"/>
  <c r="F11" i="73"/>
  <c r="I10" i="73"/>
  <c r="I6" i="73"/>
  <c r="F6" i="73"/>
  <c r="D8" i="73"/>
  <c r="E9" i="73"/>
  <c r="F10" i="73"/>
  <c r="I7" i="73"/>
  <c r="I11" i="73"/>
  <c r="D13" i="73" l="1"/>
  <c r="D14" i="73"/>
  <c r="F13" i="73"/>
  <c r="F14" i="73"/>
  <c r="J11" i="73"/>
  <c r="E13" i="73"/>
  <c r="E14" i="73"/>
  <c r="G6" i="73"/>
  <c r="J13" i="73" l="1"/>
  <c r="G14" i="73"/>
  <c r="G13" i="73"/>
  <c r="F16" i="67" s="1"/>
  <c r="G11" i="73"/>
  <c r="J10" i="73"/>
  <c r="G10" i="73"/>
  <c r="J9" i="73"/>
  <c r="G9" i="73"/>
  <c r="J8" i="73"/>
  <c r="G8" i="73"/>
  <c r="G7" i="73"/>
  <c r="D8" i="68"/>
  <c r="K13" i="73" l="1"/>
  <c r="H13" i="73"/>
  <c r="K14" i="73"/>
  <c r="E16" i="67"/>
  <c r="H8" i="73"/>
  <c r="K8" i="73"/>
  <c r="H9" i="73"/>
  <c r="K9" i="73"/>
  <c r="H10" i="73"/>
  <c r="K10" i="73"/>
  <c r="H11" i="73"/>
  <c r="K11" i="73"/>
  <c r="J6" i="73"/>
  <c r="J7" i="73"/>
  <c r="H6" i="73" l="1"/>
  <c r="E8" i="68"/>
  <c r="C8" i="68"/>
  <c r="H8" i="68" s="1"/>
  <c r="K6" i="73"/>
  <c r="H7" i="73"/>
  <c r="K7" i="73"/>
  <c r="G16" i="67" l="1"/>
  <c r="I10" i="69" l="1"/>
  <c r="I10" i="63"/>
  <c r="I11" i="69" l="1"/>
  <c r="I9" i="69"/>
  <c r="I8" i="69"/>
  <c r="I7" i="69"/>
  <c r="I6" i="69"/>
  <c r="F11" i="69"/>
  <c r="F10" i="69"/>
  <c r="F9" i="69"/>
  <c r="F8" i="69"/>
  <c r="F7" i="69"/>
  <c r="F6" i="69"/>
  <c r="E11" i="69"/>
  <c r="E10" i="69"/>
  <c r="E9" i="69"/>
  <c r="E8" i="69"/>
  <c r="E7" i="69"/>
  <c r="E6" i="69"/>
  <c r="D11" i="69"/>
  <c r="D10" i="69"/>
  <c r="D9" i="69"/>
  <c r="D8" i="69"/>
  <c r="D7" i="69"/>
  <c r="D6" i="69"/>
  <c r="K6" i="62"/>
  <c r="D13" i="69" l="1"/>
  <c r="D14" i="69"/>
  <c r="E13" i="69"/>
  <c r="E14" i="69"/>
  <c r="I14" i="69"/>
  <c r="I13" i="69"/>
  <c r="F13" i="69"/>
  <c r="G13" i="69" s="1"/>
  <c r="F14" i="69"/>
  <c r="G14" i="69" s="1"/>
  <c r="G6" i="69"/>
  <c r="C7" i="68"/>
  <c r="D7" i="68"/>
  <c r="H7" i="68" s="1"/>
  <c r="J13" i="69" l="1"/>
  <c r="J14" i="69"/>
  <c r="E7" i="68"/>
  <c r="I7" i="68" s="1"/>
  <c r="E15" i="67"/>
  <c r="K14" i="69" l="1"/>
  <c r="H14" i="69"/>
  <c r="K13" i="69"/>
  <c r="H13" i="69"/>
  <c r="E33" i="77" l="1"/>
  <c r="F33" i="77" l="1"/>
  <c r="G33" i="77"/>
  <c r="H33" i="77"/>
  <c r="R2" i="54"/>
  <c r="Q2" i="54"/>
  <c r="P2" i="54"/>
  <c r="I11" i="64"/>
  <c r="J11" i="64" s="1"/>
  <c r="F11" i="64"/>
  <c r="E11" i="64"/>
  <c r="D11" i="64"/>
  <c r="I10" i="64"/>
  <c r="J10" i="64" s="1"/>
  <c r="F10" i="64"/>
  <c r="E10" i="64"/>
  <c r="D10" i="64"/>
  <c r="I9" i="64"/>
  <c r="J9" i="64" s="1"/>
  <c r="F9" i="64"/>
  <c r="E9" i="64"/>
  <c r="D9" i="64"/>
  <c r="I8" i="64"/>
  <c r="J8" i="64" s="1"/>
  <c r="F8" i="64"/>
  <c r="E8" i="64"/>
  <c r="D8" i="64"/>
  <c r="I7" i="64"/>
  <c r="F7" i="64"/>
  <c r="E7" i="64"/>
  <c r="D7" i="64"/>
  <c r="I6" i="64"/>
  <c r="F6" i="64"/>
  <c r="E6" i="64"/>
  <c r="D6" i="64"/>
  <c r="I11" i="65"/>
  <c r="J11" i="65" s="1"/>
  <c r="F11" i="65"/>
  <c r="E11" i="65"/>
  <c r="D11" i="65"/>
  <c r="I10" i="65"/>
  <c r="J10" i="65" s="1"/>
  <c r="F10" i="65"/>
  <c r="E10" i="65"/>
  <c r="D10" i="65"/>
  <c r="I9" i="65"/>
  <c r="J9" i="65" s="1"/>
  <c r="F9" i="65"/>
  <c r="E9" i="65"/>
  <c r="D9" i="65"/>
  <c r="I8" i="65"/>
  <c r="J8" i="65" s="1"/>
  <c r="F8" i="65"/>
  <c r="E8" i="65"/>
  <c r="D8" i="65"/>
  <c r="I7" i="65"/>
  <c r="F7" i="65"/>
  <c r="E7" i="65"/>
  <c r="D7" i="65"/>
  <c r="I6" i="65"/>
  <c r="F6" i="65"/>
  <c r="E6" i="65"/>
  <c r="D6" i="65"/>
  <c r="I11" i="66"/>
  <c r="J11" i="66" s="1"/>
  <c r="F11" i="66"/>
  <c r="E11" i="66"/>
  <c r="D11" i="66"/>
  <c r="I10" i="66"/>
  <c r="J10" i="66" s="1"/>
  <c r="F10" i="66"/>
  <c r="E10" i="66"/>
  <c r="D10" i="66"/>
  <c r="I9" i="66"/>
  <c r="J9" i="66" s="1"/>
  <c r="F9" i="66"/>
  <c r="E9" i="66"/>
  <c r="D9" i="66"/>
  <c r="I8" i="66"/>
  <c r="F8" i="66"/>
  <c r="E8" i="66"/>
  <c r="D8" i="66"/>
  <c r="I7" i="66"/>
  <c r="F7" i="66"/>
  <c r="E7" i="66"/>
  <c r="D7" i="66"/>
  <c r="I6" i="66"/>
  <c r="F6" i="66"/>
  <c r="E6" i="66"/>
  <c r="D6" i="66"/>
  <c r="D14" i="65" l="1"/>
  <c r="D13" i="65"/>
  <c r="E13" i="64"/>
  <c r="E14" i="64"/>
  <c r="E14" i="65"/>
  <c r="E13" i="65"/>
  <c r="I13" i="64"/>
  <c r="J13" i="64" s="1"/>
  <c r="I14" i="64"/>
  <c r="J14" i="64" s="1"/>
  <c r="F13" i="65"/>
  <c r="G13" i="65" s="1"/>
  <c r="F14" i="65"/>
  <c r="G14" i="65" s="1"/>
  <c r="J6" i="65"/>
  <c r="H6" i="65" s="1"/>
  <c r="I13" i="65"/>
  <c r="J13" i="65" s="1"/>
  <c r="I14" i="65"/>
  <c r="J14" i="65" s="1"/>
  <c r="D13" i="64"/>
  <c r="D14" i="64"/>
  <c r="F13" i="64"/>
  <c r="G13" i="64" s="1"/>
  <c r="F14" i="64"/>
  <c r="E13" i="66"/>
  <c r="E14" i="66"/>
  <c r="F14" i="66"/>
  <c r="G14" i="66" s="1"/>
  <c r="F13" i="66"/>
  <c r="E3" i="68" s="1"/>
  <c r="I3" i="68" s="1"/>
  <c r="J6" i="66"/>
  <c r="H6" i="66" s="1"/>
  <c r="I14" i="66"/>
  <c r="J14" i="66" s="1"/>
  <c r="I13" i="66"/>
  <c r="J13" i="66" s="1"/>
  <c r="D14" i="66"/>
  <c r="D13" i="66"/>
  <c r="H8" i="65"/>
  <c r="G10" i="64"/>
  <c r="J7" i="66"/>
  <c r="K7" i="66" s="1"/>
  <c r="G8" i="66"/>
  <c r="H9" i="66"/>
  <c r="G10" i="66"/>
  <c r="G11" i="64"/>
  <c r="H11" i="64"/>
  <c r="K11" i="64"/>
  <c r="J6" i="64"/>
  <c r="G6" i="64"/>
  <c r="G7" i="65"/>
  <c r="G8" i="65"/>
  <c r="G10" i="65"/>
  <c r="K10" i="65"/>
  <c r="G11" i="65"/>
  <c r="H11" i="65"/>
  <c r="G6" i="65"/>
  <c r="K8" i="65"/>
  <c r="K11" i="65"/>
  <c r="H10" i="65"/>
  <c r="G7" i="66"/>
  <c r="G11" i="66"/>
  <c r="H10" i="66"/>
  <c r="K10" i="66"/>
  <c r="G9" i="66"/>
  <c r="G6" i="66"/>
  <c r="K10" i="64"/>
  <c r="G7" i="64"/>
  <c r="G8" i="64"/>
  <c r="G9" i="64"/>
  <c r="J7" i="64"/>
  <c r="H8" i="64"/>
  <c r="K8" i="64"/>
  <c r="H9" i="64"/>
  <c r="K9" i="64"/>
  <c r="H10" i="64"/>
  <c r="G9" i="65"/>
  <c r="J7" i="65"/>
  <c r="H9" i="65"/>
  <c r="K9" i="65"/>
  <c r="H7" i="66"/>
  <c r="H11" i="66"/>
  <c r="K11" i="66"/>
  <c r="J8" i="66"/>
  <c r="K9" i="66"/>
  <c r="K6" i="65" l="1"/>
  <c r="E4" i="68"/>
  <c r="I4" i="68" s="1"/>
  <c r="G14" i="64"/>
  <c r="H13" i="64"/>
  <c r="K13" i="64"/>
  <c r="K6" i="66"/>
  <c r="H14" i="64"/>
  <c r="K14" i="64"/>
  <c r="E13" i="67"/>
  <c r="K14" i="65"/>
  <c r="H14" i="65"/>
  <c r="K13" i="66"/>
  <c r="K13" i="65"/>
  <c r="H13" i="65"/>
  <c r="K14" i="66"/>
  <c r="H14" i="66"/>
  <c r="H13" i="66"/>
  <c r="E5" i="68"/>
  <c r="I5" i="68" s="1"/>
  <c r="H6" i="64"/>
  <c r="K6" i="64"/>
  <c r="G13" i="66"/>
  <c r="H7" i="64"/>
  <c r="K7" i="64"/>
  <c r="H7" i="65"/>
  <c r="K7" i="65"/>
  <c r="H8" i="66"/>
  <c r="K8" i="66"/>
  <c r="G13" i="67" l="1"/>
  <c r="X7" i="28" l="1"/>
  <c r="J9" i="69" l="1"/>
  <c r="H9" i="69" s="1"/>
  <c r="I9" i="63"/>
  <c r="J11" i="69"/>
  <c r="H11" i="69" s="1"/>
  <c r="I11" i="63"/>
  <c r="D9" i="63"/>
  <c r="D11" i="63"/>
  <c r="E9" i="63"/>
  <c r="E11" i="63"/>
  <c r="G9" i="69"/>
  <c r="F9" i="63"/>
  <c r="I6" i="63"/>
  <c r="J10" i="69"/>
  <c r="H10" i="69" s="1"/>
  <c r="D6" i="63"/>
  <c r="D10" i="63"/>
  <c r="E6" i="63"/>
  <c r="E10" i="63"/>
  <c r="F6" i="63"/>
  <c r="F10" i="63"/>
  <c r="J8" i="69"/>
  <c r="I8" i="63"/>
  <c r="D8" i="63"/>
  <c r="E8" i="63"/>
  <c r="F8" i="63"/>
  <c r="F11" i="63"/>
  <c r="I7" i="63"/>
  <c r="D7" i="63"/>
  <c r="E7" i="63"/>
  <c r="F7" i="63"/>
  <c r="I13" i="63" l="1"/>
  <c r="J13" i="63" s="1"/>
  <c r="I14" i="63"/>
  <c r="J14" i="63" s="1"/>
  <c r="E13" i="63"/>
  <c r="E14" i="63"/>
  <c r="F14" i="63"/>
  <c r="G14" i="63" s="1"/>
  <c r="F13" i="63"/>
  <c r="G13" i="63" s="1"/>
  <c r="D14" i="63"/>
  <c r="D13" i="63"/>
  <c r="C6" i="68" s="1"/>
  <c r="G9" i="63"/>
  <c r="G11" i="63"/>
  <c r="G8" i="63"/>
  <c r="G7" i="63"/>
  <c r="G11" i="69"/>
  <c r="G7" i="69"/>
  <c r="J7" i="63"/>
  <c r="J8" i="63"/>
  <c r="G6" i="63"/>
  <c r="D6" i="68"/>
  <c r="J6" i="63"/>
  <c r="J11" i="63"/>
  <c r="H8" i="69"/>
  <c r="K8" i="69"/>
  <c r="J6" i="69"/>
  <c r="K11" i="69"/>
  <c r="G10" i="63"/>
  <c r="J10" i="63"/>
  <c r="J9" i="63"/>
  <c r="H9" i="63" s="1"/>
  <c r="J7" i="69"/>
  <c r="G8" i="69"/>
  <c r="G10" i="69"/>
  <c r="K10" i="69"/>
  <c r="K9" i="69"/>
  <c r="H6" i="68" l="1"/>
  <c r="H14" i="63"/>
  <c r="K14" i="63"/>
  <c r="H13" i="63"/>
  <c r="K13" i="63"/>
  <c r="H6" i="69"/>
  <c r="K6" i="69"/>
  <c r="E14" i="67"/>
  <c r="H7" i="69"/>
  <c r="K7" i="69"/>
  <c r="K9" i="63"/>
  <c r="H8" i="63"/>
  <c r="K8" i="63"/>
  <c r="H7" i="63"/>
  <c r="K7" i="63"/>
  <c r="H11" i="63"/>
  <c r="K11" i="63"/>
  <c r="E6" i="68"/>
  <c r="I6" i="68" s="1"/>
  <c r="H10" i="63"/>
  <c r="K10" i="63"/>
  <c r="H6" i="63"/>
  <c r="K6" i="63"/>
  <c r="G15" i="67" l="1"/>
  <c r="G14" i="67" l="1"/>
  <c r="AI23" i="28" l="1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9" i="28"/>
  <c r="AI8" i="28"/>
  <c r="AI7" i="28"/>
  <c r="AI6" i="28"/>
  <c r="AI5" i="28"/>
  <c r="AI4" i="28"/>
  <c r="Q27" i="28"/>
  <c r="AH23" i="28"/>
  <c r="AH22" i="28"/>
  <c r="AH21" i="28"/>
  <c r="AH20" i="28"/>
  <c r="AH19" i="28"/>
  <c r="AH18" i="28"/>
  <c r="AH17" i="28"/>
  <c r="AH16" i="28"/>
  <c r="AH15" i="28"/>
  <c r="AH14" i="28"/>
  <c r="AH13" i="28"/>
  <c r="AH12" i="28"/>
  <c r="AH11" i="28"/>
  <c r="AH10" i="28"/>
  <c r="AH9" i="28"/>
  <c r="AH8" i="28"/>
  <c r="AH7" i="28"/>
  <c r="AH6" i="28"/>
  <c r="AH5" i="28"/>
  <c r="AH4" i="28"/>
  <c r="AG23" i="28"/>
  <c r="AG22" i="28"/>
  <c r="AG21" i="28"/>
  <c r="AG20" i="28"/>
  <c r="AG19" i="28"/>
  <c r="AG18" i="28"/>
  <c r="AG17" i="28"/>
  <c r="AG16" i="28"/>
  <c r="AG15" i="28"/>
  <c r="AG14" i="28"/>
  <c r="AG13" i="28"/>
  <c r="AG12" i="28"/>
  <c r="AG11" i="28"/>
  <c r="AG10" i="28"/>
  <c r="AG9" i="28"/>
  <c r="AG8" i="28"/>
  <c r="AG7" i="28"/>
  <c r="O31" i="28" s="1"/>
  <c r="AG6" i="28"/>
  <c r="AG5" i="28"/>
  <c r="AG4" i="28"/>
  <c r="AG3" i="28"/>
  <c r="AF23" i="28"/>
  <c r="AF22" i="28"/>
  <c r="AF21" i="28"/>
  <c r="AF20" i="28"/>
  <c r="AF19" i="28"/>
  <c r="AF18" i="28"/>
  <c r="AF17" i="28"/>
  <c r="AF16" i="28"/>
  <c r="AF15" i="28"/>
  <c r="AF14" i="28"/>
  <c r="AF13" i="28"/>
  <c r="AF12" i="28"/>
  <c r="AF11" i="28"/>
  <c r="AF10" i="28"/>
  <c r="AF9" i="28"/>
  <c r="AF8" i="28"/>
  <c r="AF7" i="28"/>
  <c r="AF6" i="28"/>
  <c r="AF5" i="28"/>
  <c r="AF4" i="28"/>
  <c r="AF3" i="28"/>
  <c r="AE23" i="28"/>
  <c r="AE22" i="28"/>
  <c r="AE21" i="28"/>
  <c r="AE20" i="28"/>
  <c r="AE19" i="28"/>
  <c r="AE18" i="28"/>
  <c r="AE17" i="28"/>
  <c r="AE16" i="28"/>
  <c r="AE15" i="28"/>
  <c r="AE14" i="28"/>
  <c r="AE13" i="28"/>
  <c r="AE12" i="28"/>
  <c r="AE11" i="28"/>
  <c r="AE10" i="28"/>
  <c r="AE9" i="28"/>
  <c r="AE8" i="28"/>
  <c r="AE7" i="28"/>
  <c r="AE6" i="28"/>
  <c r="AE5" i="28"/>
  <c r="AE4" i="28"/>
  <c r="AE3" i="28"/>
  <c r="AD23" i="28"/>
  <c r="AD22" i="28"/>
  <c r="AD21" i="28"/>
  <c r="AD20" i="28"/>
  <c r="AD19" i="28"/>
  <c r="AD18" i="28"/>
  <c r="AD17" i="28"/>
  <c r="AD16" i="28"/>
  <c r="AD15" i="28"/>
  <c r="AD14" i="28"/>
  <c r="AD13" i="28"/>
  <c r="AD12" i="28"/>
  <c r="AD11" i="28"/>
  <c r="AD10" i="28"/>
  <c r="AD9" i="28"/>
  <c r="L33" i="28" s="1"/>
  <c r="AD8" i="28"/>
  <c r="AD7" i="28"/>
  <c r="AD6" i="28"/>
  <c r="AD5" i="28"/>
  <c r="AD4" i="28"/>
  <c r="Q35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1" i="28"/>
  <c r="X10" i="28"/>
  <c r="X9" i="28"/>
  <c r="X8" i="28"/>
  <c r="X6" i="28"/>
  <c r="X5" i="28"/>
  <c r="X4" i="28"/>
  <c r="W23" i="28"/>
  <c r="W22" i="28"/>
  <c r="W21" i="28"/>
  <c r="W20" i="28"/>
  <c r="W19" i="28"/>
  <c r="W18" i="28"/>
  <c r="W17" i="28"/>
  <c r="W16" i="28"/>
  <c r="W15" i="28"/>
  <c r="W14" i="28"/>
  <c r="W13" i="28"/>
  <c r="W12" i="28"/>
  <c r="W11" i="28"/>
  <c r="W10" i="28"/>
  <c r="W9" i="28"/>
  <c r="W8" i="28"/>
  <c r="W7" i="28"/>
  <c r="W6" i="28"/>
  <c r="W5" i="28"/>
  <c r="W4" i="28"/>
  <c r="V23" i="28"/>
  <c r="V22" i="28"/>
  <c r="V21" i="28"/>
  <c r="V20" i="28"/>
  <c r="V19" i="28"/>
  <c r="V18" i="28"/>
  <c r="V17" i="28"/>
  <c r="V16" i="28"/>
  <c r="V15" i="28"/>
  <c r="V14" i="28"/>
  <c r="V13" i="28"/>
  <c r="V12" i="28"/>
  <c r="V11" i="28"/>
  <c r="V10" i="28"/>
  <c r="V9" i="28"/>
  <c r="V8" i="28"/>
  <c r="V7" i="28"/>
  <c r="V6" i="28"/>
  <c r="V5" i="28"/>
  <c r="V4" i="28"/>
  <c r="U23" i="28"/>
  <c r="U22" i="28"/>
  <c r="U21" i="28"/>
  <c r="U20" i="28"/>
  <c r="U19" i="28"/>
  <c r="U18" i="28"/>
  <c r="U17" i="28"/>
  <c r="U16" i="28"/>
  <c r="U15" i="28"/>
  <c r="U14" i="28"/>
  <c r="U13" i="28"/>
  <c r="U12" i="28"/>
  <c r="U11" i="28"/>
  <c r="U10" i="28"/>
  <c r="U9" i="28"/>
  <c r="U8" i="28"/>
  <c r="U7" i="28"/>
  <c r="U6" i="28"/>
  <c r="U5" i="28"/>
  <c r="U4" i="28"/>
  <c r="O23" i="28"/>
  <c r="O22" i="28"/>
  <c r="O21" i="28"/>
  <c r="O20" i="28"/>
  <c r="O19" i="28"/>
  <c r="O18" i="28"/>
  <c r="O17" i="28"/>
  <c r="O16" i="28"/>
  <c r="O15" i="28"/>
  <c r="O14" i="28"/>
  <c r="O13" i="28"/>
  <c r="O12" i="28"/>
  <c r="O11" i="28"/>
  <c r="O10" i="28"/>
  <c r="O9" i="28"/>
  <c r="O8" i="28"/>
  <c r="O7" i="28"/>
  <c r="O6" i="28"/>
  <c r="O5" i="28"/>
  <c r="O4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N5" i="28"/>
  <c r="N4" i="28"/>
  <c r="M23" i="28"/>
  <c r="M22" i="28"/>
  <c r="M21" i="28"/>
  <c r="M20" i="28"/>
  <c r="M19" i="28"/>
  <c r="M18" i="28"/>
  <c r="M17" i="28"/>
  <c r="M16" i="28"/>
  <c r="M15" i="28"/>
  <c r="M14" i="28"/>
  <c r="M13" i="28"/>
  <c r="M12" i="28"/>
  <c r="M11" i="28"/>
  <c r="M10" i="28"/>
  <c r="M9" i="28"/>
  <c r="M8" i="28"/>
  <c r="M7" i="28"/>
  <c r="M6" i="28"/>
  <c r="M5" i="28"/>
  <c r="M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7" i="28"/>
  <c r="F6" i="28"/>
  <c r="F5" i="28"/>
  <c r="F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E9" i="28"/>
  <c r="E8" i="28"/>
  <c r="E7" i="28"/>
  <c r="E6" i="28"/>
  <c r="E5" i="28"/>
  <c r="E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D7" i="28"/>
  <c r="D6" i="28"/>
  <c r="D5" i="28"/>
  <c r="D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C4" i="28"/>
  <c r="L23" i="28"/>
  <c r="L22" i="28"/>
  <c r="L21" i="28"/>
  <c r="L20" i="28"/>
  <c r="L19" i="28"/>
  <c r="L18" i="28"/>
  <c r="L17" i="28"/>
  <c r="L16" i="28"/>
  <c r="L15" i="28"/>
  <c r="L14" i="28"/>
  <c r="L13" i="28"/>
  <c r="L12" i="28"/>
  <c r="L11" i="28"/>
  <c r="L10" i="28"/>
  <c r="L9" i="28"/>
  <c r="L8" i="28"/>
  <c r="L7" i="28"/>
  <c r="L6" i="28"/>
  <c r="L5" i="28"/>
  <c r="L4" i="28"/>
  <c r="Z36" i="28" l="1"/>
  <c r="Q36" i="28"/>
  <c r="V36" i="28"/>
  <c r="W36" i="28"/>
  <c r="X36" i="28"/>
  <c r="O36" i="28"/>
  <c r="Y24" i="28"/>
  <c r="Z24" i="28"/>
  <c r="U24" i="28"/>
  <c r="V24" i="28"/>
  <c r="W24" i="28"/>
  <c r="X24" i="28"/>
  <c r="O43" i="28"/>
  <c r="O33" i="28"/>
  <c r="P46" i="28"/>
  <c r="O38" i="28"/>
  <c r="L36" i="28"/>
  <c r="M32" i="28"/>
  <c r="N31" i="28"/>
  <c r="N49" i="28"/>
  <c r="O49" i="28"/>
  <c r="O48" i="28"/>
  <c r="L47" i="28"/>
  <c r="P47" i="28"/>
  <c r="M47" i="28"/>
  <c r="Q47" i="28"/>
  <c r="M46" i="28"/>
  <c r="Q46" i="28"/>
  <c r="N45" i="28"/>
  <c r="O45" i="28"/>
  <c r="O44" i="28"/>
  <c r="P44" i="28"/>
  <c r="L43" i="28"/>
  <c r="P43" i="28"/>
  <c r="M41" i="28"/>
  <c r="Q41" i="28"/>
  <c r="N41" i="28"/>
  <c r="N40" i="28"/>
  <c r="O40" i="28"/>
  <c r="O39" i="28"/>
  <c r="L39" i="28"/>
  <c r="P39" i="28"/>
  <c r="L38" i="28"/>
  <c r="P38" i="28"/>
  <c r="M37" i="28"/>
  <c r="Q37" i="28"/>
  <c r="N37" i="28"/>
  <c r="P36" i="28"/>
  <c r="O35" i="28"/>
  <c r="L35" i="28"/>
  <c r="P35" i="28"/>
  <c r="P33" i="28"/>
  <c r="Q32" i="28"/>
  <c r="O28" i="28"/>
  <c r="L28" i="28"/>
  <c r="P28" i="28"/>
  <c r="N27" i="28"/>
  <c r="O27" i="28"/>
  <c r="N30" i="28"/>
  <c r="O30" i="28"/>
  <c r="L27" i="28"/>
  <c r="L48" i="28"/>
  <c r="P48" i="28"/>
  <c r="N32" i="28"/>
  <c r="L49" i="28"/>
  <c r="P49" i="28"/>
  <c r="M49" i="28"/>
  <c r="Q49" i="28"/>
  <c r="M48" i="28"/>
  <c r="Q48" i="28"/>
  <c r="N48" i="28"/>
  <c r="N47" i="28"/>
  <c r="O47" i="28"/>
  <c r="N46" i="28"/>
  <c r="O46" i="28"/>
  <c r="L46" i="28"/>
  <c r="L45" i="28"/>
  <c r="P45" i="28"/>
  <c r="M45" i="28"/>
  <c r="Q45" i="28"/>
  <c r="M44" i="28"/>
  <c r="Q44" i="28"/>
  <c r="L44" i="28"/>
  <c r="N44" i="28"/>
  <c r="M43" i="28"/>
  <c r="Q43" i="28"/>
  <c r="N43" i="28"/>
  <c r="O41" i="28"/>
  <c r="L41" i="28"/>
  <c r="P41" i="28"/>
  <c r="L40" i="28"/>
  <c r="P40" i="28"/>
  <c r="M40" i="28"/>
  <c r="Q40" i="28"/>
  <c r="M39" i="28"/>
  <c r="Q39" i="28"/>
  <c r="N39" i="28"/>
  <c r="M38" i="28"/>
  <c r="Q38" i="28"/>
  <c r="N38" i="28"/>
  <c r="O37" i="28"/>
  <c r="L37" i="28"/>
  <c r="P37" i="28"/>
  <c r="M36" i="28"/>
  <c r="N36" i="28"/>
  <c r="M35" i="28"/>
  <c r="N35" i="28"/>
  <c r="M33" i="28"/>
  <c r="Q33" i="28"/>
  <c r="N33" i="28"/>
  <c r="O32" i="28"/>
  <c r="L32" i="28"/>
  <c r="P32" i="28"/>
  <c r="L31" i="28"/>
  <c r="P31" i="28"/>
  <c r="M31" i="28"/>
  <c r="Q31" i="28"/>
  <c r="L30" i="28"/>
  <c r="P30" i="28"/>
  <c r="M30" i="28"/>
  <c r="Q30" i="28"/>
  <c r="L29" i="28"/>
  <c r="P29" i="28"/>
  <c r="M29" i="28"/>
  <c r="Q29" i="28"/>
  <c r="N29" i="28"/>
  <c r="O29" i="28"/>
  <c r="M28" i="28"/>
  <c r="Q28" i="28"/>
  <c r="N28" i="28"/>
  <c r="U27" i="28"/>
  <c r="M27" i="28"/>
  <c r="G24" i="28"/>
  <c r="L24" i="28"/>
  <c r="U28" i="28"/>
  <c r="U32" i="28"/>
  <c r="U37" i="28"/>
  <c r="U41" i="28"/>
  <c r="U46" i="28"/>
  <c r="V27" i="28"/>
  <c r="V31" i="28"/>
  <c r="V40" i="28"/>
  <c r="V45" i="28"/>
  <c r="V49" i="28"/>
  <c r="W30" i="28"/>
  <c r="W35" i="28"/>
  <c r="W39" i="28"/>
  <c r="W44" i="28"/>
  <c r="W48" i="28"/>
  <c r="X29" i="28"/>
  <c r="X33" i="28"/>
  <c r="X38" i="28"/>
  <c r="X43" i="28"/>
  <c r="X47" i="28"/>
  <c r="Y28" i="28"/>
  <c r="Y32" i="28"/>
  <c r="Y37" i="28"/>
  <c r="Y41" i="28"/>
  <c r="Y46" i="28"/>
  <c r="Z27" i="28"/>
  <c r="Z31" i="28"/>
  <c r="Z40" i="28"/>
  <c r="Z45" i="28"/>
  <c r="Z49" i="28"/>
  <c r="D24" i="28"/>
  <c r="U29" i="28"/>
  <c r="U33" i="28"/>
  <c r="U38" i="28"/>
  <c r="U43" i="28"/>
  <c r="U47" i="28"/>
  <c r="V28" i="28"/>
  <c r="V32" i="28"/>
  <c r="V37" i="28"/>
  <c r="V41" i="28"/>
  <c r="V46" i="28"/>
  <c r="W27" i="28"/>
  <c r="W31" i="28"/>
  <c r="W40" i="28"/>
  <c r="W45" i="28"/>
  <c r="W49" i="28"/>
  <c r="X30" i="28"/>
  <c r="X35" i="28"/>
  <c r="X39" i="28"/>
  <c r="X44" i="28"/>
  <c r="X48" i="28"/>
  <c r="Y29" i="28"/>
  <c r="Y33" i="28"/>
  <c r="Y38" i="28"/>
  <c r="Y43" i="28"/>
  <c r="Y47" i="28"/>
  <c r="Z28" i="28"/>
  <c r="Z32" i="28"/>
  <c r="Z37" i="28"/>
  <c r="Z41" i="28"/>
  <c r="Z46" i="28"/>
  <c r="E24" i="28"/>
  <c r="M24" i="28"/>
  <c r="Q24" i="28"/>
  <c r="U30" i="28"/>
  <c r="U35" i="28"/>
  <c r="U39" i="28"/>
  <c r="U44" i="28"/>
  <c r="U48" i="28"/>
  <c r="V29" i="28"/>
  <c r="V33" i="28"/>
  <c r="V38" i="28"/>
  <c r="V43" i="28"/>
  <c r="V47" i="28"/>
  <c r="W28" i="28"/>
  <c r="W32" i="28"/>
  <c r="W37" i="28"/>
  <c r="W41" i="28"/>
  <c r="W46" i="28"/>
  <c r="X27" i="28"/>
  <c r="X31" i="28"/>
  <c r="X40" i="28"/>
  <c r="X45" i="28"/>
  <c r="X49" i="28"/>
  <c r="Y30" i="28"/>
  <c r="Y35" i="28"/>
  <c r="Y39" i="28"/>
  <c r="Y44" i="28"/>
  <c r="Y48" i="28"/>
  <c r="Z29" i="28"/>
  <c r="Z33" i="28"/>
  <c r="Z38" i="28"/>
  <c r="Z43" i="28"/>
  <c r="Z47" i="28"/>
  <c r="F24" i="28"/>
  <c r="N24" i="28"/>
  <c r="U31" i="28"/>
  <c r="U36" i="28"/>
  <c r="U40" i="28"/>
  <c r="U45" i="28"/>
  <c r="U49" i="28"/>
  <c r="V30" i="28"/>
  <c r="V35" i="28"/>
  <c r="V39" i="28"/>
  <c r="V44" i="28"/>
  <c r="V48" i="28"/>
  <c r="W29" i="28"/>
  <c r="W33" i="28"/>
  <c r="W38" i="28"/>
  <c r="W43" i="28"/>
  <c r="W47" i="28"/>
  <c r="X28" i="28"/>
  <c r="X32" i="28"/>
  <c r="X37" i="28"/>
  <c r="X41" i="28"/>
  <c r="X46" i="28"/>
  <c r="Y31" i="28"/>
  <c r="Y36" i="28"/>
  <c r="Y40" i="28"/>
  <c r="Y45" i="28"/>
  <c r="Y49" i="28"/>
  <c r="Z30" i="28"/>
  <c r="Z35" i="28"/>
  <c r="Z39" i="28"/>
  <c r="Z44" i="28"/>
  <c r="Z48" i="28"/>
  <c r="C24" i="28"/>
  <c r="H24" i="28"/>
  <c r="O24" i="28"/>
  <c r="D50" i="28"/>
  <c r="K52" i="28" l="1"/>
  <c r="AI28" i="28"/>
  <c r="AD44" i="28"/>
  <c r="AE30" i="28"/>
  <c r="AF28" i="28"/>
  <c r="AH30" i="28"/>
  <c r="AD46" i="28"/>
  <c r="AH27" i="28"/>
  <c r="L52" i="28"/>
  <c r="AE27" i="28"/>
  <c r="AE43" i="28"/>
  <c r="AH29" i="28"/>
  <c r="N53" i="28"/>
  <c r="N52" i="28"/>
  <c r="AD43" i="28"/>
  <c r="AE29" i="28"/>
  <c r="AH28" i="28"/>
  <c r="O52" i="28"/>
  <c r="M52" i="28"/>
  <c r="M53" i="28" s="1"/>
  <c r="AE28" i="28"/>
  <c r="AE44" i="28" s="1"/>
  <c r="B52" i="28"/>
  <c r="L50" i="28"/>
  <c r="AI24" i="28"/>
  <c r="Q50" i="28" s="1"/>
  <c r="Z50" i="28"/>
  <c r="U50" i="28"/>
  <c r="AE24" i="28"/>
  <c r="AF24" i="28"/>
  <c r="AH24" i="28"/>
  <c r="AG24" i="28"/>
  <c r="W50" i="28"/>
  <c r="V50" i="28"/>
  <c r="Y50" i="28"/>
  <c r="X50" i="28"/>
  <c r="AH32" i="28" l="1"/>
  <c r="AI27" i="28"/>
  <c r="AI29" i="28" s="1"/>
  <c r="AE42" i="28"/>
  <c r="AD45" i="28"/>
  <c r="AD47" i="28" s="1"/>
  <c r="AE32" i="28"/>
  <c r="AD42" i="28"/>
  <c r="AF27" i="28"/>
  <c r="AF29" i="28" s="1"/>
  <c r="O50" i="28"/>
  <c r="N50" i="28"/>
  <c r="P50" i="28"/>
  <c r="M50" i="28"/>
  <c r="AE31" i="28" l="1"/>
  <c r="AH31" i="28"/>
</calcChain>
</file>

<file path=xl/sharedStrings.xml><?xml version="1.0" encoding="utf-8"?>
<sst xmlns="http://schemas.openxmlformats.org/spreadsheetml/2006/main" count="7078" uniqueCount="495">
  <si>
    <t>Formy aktywizacji zawodowej, z tego (suma wierszy od 02 do 19, 21 i 22)</t>
  </si>
  <si>
    <t>Staże</t>
  </si>
  <si>
    <t>Szkolenia</t>
  </si>
  <si>
    <t>Prace interwencyjne</t>
  </si>
  <si>
    <t>Roboty publiczne</t>
  </si>
  <si>
    <t>Prace społecznie użyteczne (bez PAI)</t>
  </si>
  <si>
    <t>Zatrudnienie wspierane</t>
  </si>
  <si>
    <t>Przygotowanie zawodowe dorosłych</t>
  </si>
  <si>
    <t>Stypendia za okres kontynuowania nauki</t>
  </si>
  <si>
    <t>Studia podyplomowe</t>
  </si>
  <si>
    <t>Bon zatrudnieniowy</t>
  </si>
  <si>
    <t>Bon na zasiedlenie</t>
  </si>
  <si>
    <t>Dofinansowanie wynagrodzenia skierowanych bezrob. powyżej 50 r.ż.</t>
  </si>
  <si>
    <t>Świadczenie aktywizacyjne</t>
  </si>
  <si>
    <t>Wynagrodzenia i koszty osobowe członków spółdzielni socjaln.</t>
  </si>
  <si>
    <t>Grant na telepracę</t>
  </si>
  <si>
    <t>Dofinansowanie podejmowania działalności gospodarczej</t>
  </si>
  <si>
    <t>Refundacja kosztów wyposażenia i doposażenia stanowiska pracy</t>
  </si>
  <si>
    <t>Programy specjalne</t>
  </si>
  <si>
    <t>Refundacja wynagrodzeń osób do 30 rż</t>
  </si>
  <si>
    <t>Suma kontrolna (wiersze od 1 do 23)</t>
  </si>
  <si>
    <t>Wyszczególnienie</t>
  </si>
  <si>
    <t>ROK</t>
  </si>
  <si>
    <t>M_C</t>
  </si>
  <si>
    <t>WGM</t>
  </si>
  <si>
    <t>NRW</t>
  </si>
  <si>
    <t>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</si>
  <si>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</si>
  <si>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</si>
  <si>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</si>
  <si>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</si>
  <si>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</si>
  <si>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</si>
  <si>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</si>
  <si>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</si>
  <si>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</si>
  <si>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</si>
  <si>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</si>
  <si>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</si>
  <si>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</si>
  <si>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</si>
  <si>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</si>
  <si>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</si>
  <si>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</si>
  <si>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</si>
  <si>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</si>
  <si>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</si>
  <si>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</si>
  <si>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</si>
  <si>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C1</t>
  </si>
  <si>
    <t>C2</t>
  </si>
  <si>
    <t>A</t>
  </si>
  <si>
    <t>rozpoczynający</t>
  </si>
  <si>
    <t>lata</t>
  </si>
  <si>
    <t>Formy</t>
  </si>
  <si>
    <t>aktywizacji</t>
  </si>
  <si>
    <t>Dofinansowanie działalności gospodarczej</t>
  </si>
  <si>
    <t>Refundacja kosztów wyposażenia lub doposażenia miejsca pracy</t>
  </si>
  <si>
    <t>---</t>
  </si>
  <si>
    <t>Polska</t>
  </si>
  <si>
    <t>wskaźnik efektywności kosztowej</t>
  </si>
  <si>
    <t>brak danych</t>
  </si>
  <si>
    <t>Wydatki</t>
  </si>
  <si>
    <t>(tys. zł)</t>
  </si>
  <si>
    <t>(zł)</t>
  </si>
  <si>
    <t>Efektywność</t>
  </si>
  <si>
    <t>kosztowa</t>
  </si>
  <si>
    <t>lokata</t>
  </si>
  <si>
    <t>woj. podkarpackie</t>
  </si>
  <si>
    <t>Ustrzyki Dolne</t>
  </si>
  <si>
    <t>Brzozów</t>
  </si>
  <si>
    <t>Dębica</t>
  </si>
  <si>
    <t>Jarosław</t>
  </si>
  <si>
    <t>Jasło</t>
  </si>
  <si>
    <t>Kolbuszowa</t>
  </si>
  <si>
    <t>Krosno</t>
  </si>
  <si>
    <t>Leżajsk</t>
  </si>
  <si>
    <t>Lubaczów</t>
  </si>
  <si>
    <t>Łańcut</t>
  </si>
  <si>
    <t>Mielec</t>
  </si>
  <si>
    <t>Nisko</t>
  </si>
  <si>
    <t>Przeworsk</t>
  </si>
  <si>
    <t>Ropczyce</t>
  </si>
  <si>
    <t>Rzeszów</t>
  </si>
  <si>
    <t>Sanok</t>
  </si>
  <si>
    <t>Stalowa Wola</t>
  </si>
  <si>
    <t>Strzyżów</t>
  </si>
  <si>
    <t>Tarnobrzeg</t>
  </si>
  <si>
    <t>Lesko</t>
  </si>
  <si>
    <t>6AF</t>
  </si>
  <si>
    <t>Teren działania PUP</t>
  </si>
  <si>
    <t>Przemyśl</t>
  </si>
  <si>
    <t>lokat</t>
  </si>
  <si>
    <t>róźnica</t>
  </si>
  <si>
    <t>Podkarpacie</t>
  </si>
  <si>
    <t>teren PUP</t>
  </si>
  <si>
    <t>zatrudnieniowa</t>
  </si>
  <si>
    <t>kończący udział</t>
  </si>
  <si>
    <t>Bezrobotni zatrudnieni po zakończeniu form aktywnych</t>
  </si>
  <si>
    <t>spr</t>
  </si>
  <si>
    <t>LP</t>
  </si>
  <si>
    <t>wskaźnik efektywności zatrudnieniowej</t>
  </si>
  <si>
    <t>rozpoczęli</t>
  </si>
  <si>
    <t>ukończyli</t>
  </si>
  <si>
    <t>podjęli pracę</t>
  </si>
  <si>
    <t>efektywność zatrudnieniowa</t>
  </si>
  <si>
    <t>koszt uczestnictwa 1 osoby bezrobotnej</t>
  </si>
  <si>
    <t>MINISTERSTWO PRACY I  POLITYKI SPOŁECZNEJ                                                                                                                                               ul. Nowogrodzka  1/3/5  00 - 513 Warszawa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</si>
  <si>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Załącznik nr 1                                                    do sprawozdania MRPiPS - 02                                                                                                                                                                              Efektywność programów na rzecz promocji zatrudnienia                                                                                                                                                                                                                                                                                                                                        za ......... rok                                                                                                                </t>
  </si>
  <si>
    <t xml:space="preserve">Termin przekazania: zgodnie z  programem PBSSP 2018 r. </t>
  </si>
  <si>
    <r>
      <t>Wydatki Funduszu Pracy w tys. zł</t>
    </r>
    <r>
      <rPr>
        <vertAlign val="superscript"/>
        <sz val="10"/>
        <color theme="1"/>
        <rFont val="Arial"/>
        <family val="2"/>
        <charset val="238"/>
      </rPr>
      <t>a)</t>
    </r>
  </si>
  <si>
    <r>
      <t>Liczba osób uczestniczących w danej formie aktywizacji</t>
    </r>
    <r>
      <rPr>
        <vertAlign val="superscript"/>
        <sz val="10"/>
        <color theme="1"/>
        <rFont val="Arial"/>
        <family val="2"/>
        <charset val="238"/>
      </rPr>
      <t>b)</t>
    </r>
  </si>
  <si>
    <r>
      <t xml:space="preserve">Liczba osób, które zakończyły udział w danej formie aktywizacji </t>
    </r>
    <r>
      <rPr>
        <vertAlign val="superscript"/>
        <sz val="10"/>
        <color theme="1"/>
        <rFont val="Arial"/>
        <family val="2"/>
        <charset val="238"/>
      </rPr>
      <t>b)</t>
    </r>
  </si>
  <si>
    <r>
      <t xml:space="preserve">Liczba osób, które zostały zatrudnione </t>
    </r>
    <r>
      <rPr>
        <vertAlign val="superscript"/>
        <sz val="10"/>
        <color theme="1"/>
        <rFont val="Arial"/>
        <family val="2"/>
        <charset val="238"/>
      </rPr>
      <t>b)</t>
    </r>
  </si>
  <si>
    <t xml:space="preserve">Staże  </t>
  </si>
  <si>
    <t>Program Aktywizacja i Integracja</t>
  </si>
  <si>
    <t>Refundacja składek na ubezpieczenia społeczne</t>
  </si>
  <si>
    <t>w tym</t>
  </si>
  <si>
    <t>w ramach spółdzielni socjalnej</t>
  </si>
  <si>
    <t>Czas  na przygotowanie danych do wypełnienia formularza (min)</t>
  </si>
  <si>
    <t>Czas  na wypełnienie formularza (w min)</t>
  </si>
  <si>
    <t>…………………………………</t>
  </si>
  <si>
    <t>……………………</t>
  </si>
  <si>
    <t>(wyjaśnienia dotyczące sprawozdania</t>
  </si>
  <si>
    <t>miejscowość, data</t>
  </si>
  <si>
    <t>można uzyskać pod numerem telefonu)</t>
  </si>
  <si>
    <t>szkolenia</t>
  </si>
  <si>
    <t>staże</t>
  </si>
  <si>
    <t>ogółem</t>
  </si>
  <si>
    <t>prace interw.</t>
  </si>
  <si>
    <t>roboty publ.</t>
  </si>
  <si>
    <t>refund. koszt.</t>
  </si>
  <si>
    <t>dof. działaln.</t>
  </si>
  <si>
    <t>wg VI</t>
  </si>
  <si>
    <t>1807+1861</t>
  </si>
  <si>
    <t>1813+1862</t>
  </si>
  <si>
    <t>1816+1863</t>
  </si>
  <si>
    <t>1820+1864</t>
  </si>
  <si>
    <t>sort do wykr.</t>
  </si>
  <si>
    <t>ref. koszt.</t>
  </si>
  <si>
    <t>prace int.</t>
  </si>
  <si>
    <t>dof. dział.</t>
  </si>
  <si>
    <t>teren dz. PUP</t>
  </si>
  <si>
    <t>a</t>
  </si>
  <si>
    <t>wg V</t>
  </si>
  <si>
    <t>wg IV</t>
  </si>
  <si>
    <t>wg III</t>
  </si>
  <si>
    <t>wg II</t>
  </si>
  <si>
    <t>wg I</t>
  </si>
  <si>
    <t>rozp.</t>
  </si>
  <si>
    <t>zakończenie</t>
  </si>
  <si>
    <t>podjęcie pracy</t>
  </si>
  <si>
    <t>koszty</t>
  </si>
  <si>
    <t>na 1 bezr.</t>
  </si>
  <si>
    <t>koszty do efekt koszt</t>
  </si>
  <si>
    <t>KOSZTY w pełnych zł. bez zaokrągleń</t>
  </si>
  <si>
    <t>podejmujący pracę</t>
  </si>
  <si>
    <t>Wskaźnik efekt. kosztowej, Podkarpackie</t>
  </si>
  <si>
    <t>KOSZTY (w tys. zł.)</t>
  </si>
  <si>
    <t>Formy aktywizacji</t>
  </si>
  <si>
    <t>Efektywność Zatrudnieniowa *</t>
  </si>
  <si>
    <t>wzrost</t>
  </si>
  <si>
    <t>lub spadek</t>
  </si>
  <si>
    <t>wyszczególnienie</t>
  </si>
  <si>
    <t>Wzrost</t>
  </si>
  <si>
    <t>Spadek</t>
  </si>
  <si>
    <t>1995=</t>
  </si>
  <si>
    <t>sektor publiczny</t>
  </si>
  <si>
    <t>własność państwowa</t>
  </si>
  <si>
    <t>bd</t>
  </si>
  <si>
    <t>własność skarbu państwa</t>
  </si>
  <si>
    <t>przedsiębiorstwa państwowe</t>
  </si>
  <si>
    <t>Jednostek samorządu terytorialnego</t>
  </si>
  <si>
    <t>własność prywatna krajowa</t>
  </si>
  <si>
    <t xml:space="preserve">   w tym spółdzielnie</t>
  </si>
  <si>
    <t>Własność zagraniczna</t>
  </si>
  <si>
    <t>koszt uczestn. 1 os. bezr.</t>
  </si>
  <si>
    <t>KOSZTY w pełnych zł.</t>
  </si>
  <si>
    <t>Lp</t>
  </si>
  <si>
    <t>Efektywność zatrudnieniowa liczba osób zatrudnionych w danej formie / liczba osób, które zakończyły udział w danej formie aktywizacji</t>
  </si>
  <si>
    <t>Efektywność kosztowa koszt uczestnictwa dla danej formy liczba osób zatrudnionych w danej formie</t>
  </si>
  <si>
    <t>katalog MRPiPS</t>
  </si>
  <si>
    <t>kwoty wyd. w woj. podkarpackim (w tys. zł.)</t>
  </si>
  <si>
    <t>Wskaźnik efektywności zatrudnieniowej, Podkarpackie</t>
  </si>
  <si>
    <t>Wskaźniki efektywności, województwo podkarpackie</t>
  </si>
  <si>
    <t>8 form akt.</t>
  </si>
  <si>
    <t>7 form akt.</t>
  </si>
  <si>
    <t>6 form akt.</t>
  </si>
  <si>
    <t>efektywnosć zatrudnieniowa</t>
  </si>
  <si>
    <t>efektywnosć kosztowa</t>
  </si>
  <si>
    <t>okres</t>
  </si>
  <si>
    <t>MINISTERSTWO RODZINY, PRACY I POLITYKI SPOŁECZNEJ</t>
  </si>
  <si>
    <t>ul. Nowogrodzka 1/3/5, 00-513 Warszawa</t>
  </si>
  <si>
    <t>Załącznik nr 1</t>
  </si>
  <si>
    <t>do sprawozdania MRPiPS - 02</t>
  </si>
  <si>
    <t>Termin przekazania:</t>
  </si>
  <si>
    <t>Efektywność programów na rzecz</t>
  </si>
  <si>
    <t>zgodnie z PBSSP 2019 r.</t>
  </si>
  <si>
    <t>promocji zatrudnienia</t>
  </si>
  <si>
    <t>za 2019 rok</t>
  </si>
  <si>
    <t>Liczba osób,</t>
  </si>
  <si>
    <t>Liczba osób</t>
  </si>
  <si>
    <t>które</t>
  </si>
  <si>
    <t>uczestniczących</t>
  </si>
  <si>
    <t>zakończyły</t>
  </si>
  <si>
    <t>Funduszu</t>
  </si>
  <si>
    <t>które zostały</t>
  </si>
  <si>
    <t>w danej formie</t>
  </si>
  <si>
    <t>udział w danej</t>
  </si>
  <si>
    <t>Pracy w tys. zł</t>
  </si>
  <si>
    <t>zatrudnione</t>
  </si>
  <si>
    <t>formie</t>
  </si>
  <si>
    <t>a)</t>
  </si>
  <si>
    <t>b)</t>
  </si>
  <si>
    <t>Refundacja składek na ubezpieczenia</t>
  </si>
  <si>
    <t>Koszty wynagrodzeń osób skierowanych do spółdzielni socjalnej</t>
  </si>
  <si>
    <t>Suma kontrolna (wiersze od 1 do 26)</t>
  </si>
  <si>
    <t>aktywizacji b)</t>
  </si>
  <si>
    <t>Formy aktywizacji zawodowej, z tego (suma wierszy od 02 do 19, 21, 23 do 26)</t>
  </si>
  <si>
    <t>Refundacja wynagrodzeń osób do 30 roku życia</t>
  </si>
  <si>
    <t>Koszty utworzenia miejsca pracy dla osób skier. do sp. socjalnej</t>
  </si>
  <si>
    <t>sektor prywatny</t>
  </si>
  <si>
    <t>Koszty utworzenia stanowiska pracy dla osób skierowanych do sp. socjalnej</t>
  </si>
  <si>
    <t>Formy  aktywizacji</t>
  </si>
  <si>
    <t>wzrost lub spadek</t>
  </si>
  <si>
    <t>(w zł, średni koszt na 1 osobę)</t>
  </si>
  <si>
    <t>(w proc.)</t>
  </si>
  <si>
    <r>
      <rPr>
        <b/>
        <sz val="9"/>
        <color theme="1"/>
        <rFont val="Arial"/>
        <family val="2"/>
        <charset val="238"/>
      </rPr>
      <t xml:space="preserve">efektywnosć kosztowa </t>
    </r>
    <r>
      <rPr>
        <sz val="9"/>
        <color theme="1"/>
        <rFont val="Arial"/>
        <family val="2"/>
        <charset val="238"/>
      </rPr>
      <t>(koszt ponownego zatrudnienia)</t>
    </r>
  </si>
  <si>
    <t>Formularz za 2018 rok</t>
  </si>
  <si>
    <t>Formularz za 2019 rok</t>
  </si>
  <si>
    <t>Formularz za 2020 rok</t>
  </si>
  <si>
    <t>MI</t>
  </si>
  <si>
    <t>NISTERSTWO RODZINY, PRACY I POLITYKI SPOŁECZNEJ ul. Nowogrodzka 1/3/5, 00-513 Warszawa</t>
  </si>
  <si>
    <t>Wojewódzki Urząd Pracy w Rzeszowie</t>
  </si>
  <si>
    <t xml:space="preserve"> </t>
  </si>
  <si>
    <t>Powiaty Razem</t>
  </si>
  <si>
    <t xml:space="preserve">Załącznik nr 1 do sprawozdania MRPiPS - 02 </t>
  </si>
  <si>
    <t>Efektywność programów na rzecz promocji zatrudnienia za 2020 rok</t>
  </si>
  <si>
    <t>zgodnie z PBSSP 2020 r.</t>
  </si>
  <si>
    <t>Numer identyfikacyjny REGON</t>
  </si>
  <si>
    <t>Liczba osób uczestniczących</t>
  </si>
  <si>
    <t>w danej formie aktywizacji</t>
  </si>
  <si>
    <t>Liczba osób, które</t>
  </si>
  <si>
    <t>Liczba osób, które zostały zatrudnione</t>
  </si>
  <si>
    <t>Koszty utworzenia stanowiska pracy dla osób skierowanych do spółdzielni socjalnej</t>
  </si>
  <si>
    <t>Czas na przygotowanie danych do wypełnienia formularza (min)</t>
  </si>
  <si>
    <t>Czas na wypełnienie formularza (min)</t>
  </si>
  <si>
    <r>
      <t>udział w danej formie aktywizacji</t>
    </r>
    <r>
      <rPr>
        <vertAlign val="subscript"/>
        <sz val="10"/>
        <color rgb="FF000000"/>
        <rFont val="Arial"/>
        <family val="2"/>
        <charset val="238"/>
      </rPr>
      <t>b)</t>
    </r>
  </si>
  <si>
    <t>WEK</t>
  </si>
  <si>
    <t>(WEK)</t>
  </si>
  <si>
    <t>WEZ</t>
  </si>
  <si>
    <r>
      <rPr>
        <b/>
        <sz val="9"/>
        <color theme="1"/>
        <rFont val="Arial"/>
        <family val="2"/>
        <charset val="238"/>
      </rPr>
      <t>efektywnosć kosztowa</t>
    </r>
    <r>
      <rPr>
        <sz val="9"/>
        <color theme="1"/>
        <rFont val="Arial"/>
        <family val="2"/>
        <charset val="238"/>
      </rPr>
      <t xml:space="preserve"> (koszt ponownego zatrudnienia)</t>
    </r>
  </si>
  <si>
    <t>20+64</t>
  </si>
  <si>
    <t>16+63</t>
  </si>
  <si>
    <t>13+62</t>
  </si>
  <si>
    <t>07+61</t>
  </si>
  <si>
    <t>Wskaźniki efekrywności 2021 rok</t>
  </si>
  <si>
    <t>Wskaźniki efekrywności 2020 rok</t>
  </si>
  <si>
    <t>Wskaźniki efekrywności 2019 rok</t>
  </si>
  <si>
    <t>Wskaźniki efekrywności 2018 rok</t>
  </si>
  <si>
    <t>Wskaźniki efekrywności 2017 rok</t>
  </si>
  <si>
    <t>Wskaźniki efekrywności 2016 rok</t>
  </si>
  <si>
    <t>Wskaźniki efekrywności 2015 rok</t>
  </si>
  <si>
    <t>Koszty utworzenia stanowiska pracy dla osób skierowanych w spółdzielni socjalnej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</si>
  <si>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Załącznik                                                   do sprawozdania MRiPS-02                                                                                                                                                                              Efektywność programów na rzecz promocji zatrudnienia                                                                                                                                                                                                                                                                                                                                        za ......... rok                                                                                                                </t>
  </si>
  <si>
    <t xml:space="preserve">Termin przekazania: zgodnie z  programem PBSSP 2022 r. </t>
  </si>
  <si>
    <r>
      <t>Wydatki Funduszu Pracy w zł</t>
    </r>
    <r>
      <rPr>
        <vertAlign val="superscript"/>
        <sz val="8"/>
        <rFont val="Arial"/>
        <family val="2"/>
        <charset val="238"/>
      </rPr>
      <t>a)</t>
    </r>
  </si>
  <si>
    <r>
      <t>Liczba osób uczestniczących w danej formie aktywizacji</t>
    </r>
    <r>
      <rPr>
        <vertAlign val="superscript"/>
        <sz val="8"/>
        <rFont val="Arial"/>
        <family val="2"/>
        <charset val="238"/>
      </rPr>
      <t>b)</t>
    </r>
  </si>
  <si>
    <r>
      <t xml:space="preserve">Liczba osób, które zakończyły udział w danej formie aktywizacji </t>
    </r>
    <r>
      <rPr>
        <vertAlign val="superscript"/>
        <sz val="8"/>
        <rFont val="Arial"/>
        <family val="2"/>
        <charset val="238"/>
      </rPr>
      <t>b)</t>
    </r>
  </si>
  <si>
    <r>
      <t xml:space="preserve">Liczba osób, które zostały zatrudnione </t>
    </r>
    <r>
      <rPr>
        <vertAlign val="superscript"/>
        <sz val="8"/>
        <rFont val="Arial"/>
        <family val="2"/>
        <charset val="238"/>
      </rPr>
      <t>b)</t>
    </r>
  </si>
  <si>
    <r>
      <rPr>
        <vertAlign val="superscript"/>
        <sz val="8"/>
        <rFont val="Arial"/>
        <family val="2"/>
        <charset val="238"/>
      </rPr>
      <t>a)</t>
    </r>
    <r>
      <rPr>
        <sz val="8"/>
        <rFont val="Arial"/>
        <family val="2"/>
        <charset val="238"/>
      </rPr>
      <t xml:space="preserve"> Z dwoma znakami po przecinku (grosze).</t>
    </r>
  </si>
  <si>
    <r>
      <t>b)</t>
    </r>
    <r>
      <rPr>
        <sz val="8"/>
        <rFont val="Arial"/>
        <family val="2"/>
        <charset val="238"/>
      </rPr>
      <t xml:space="preserve"> W wierszach rubryki 2, 3, 4 należy tylko raz ujmować osoby, niezależnie od liczby miesięcy.</t>
    </r>
  </si>
  <si>
    <t>7AF</t>
  </si>
  <si>
    <t>MINISTERSTWO RODZINY I POLITYKI SPOŁECZNEJ                                                                                                                                     NOWOGRODZKA 1/3/5  00-513 Warszawa</t>
  </si>
  <si>
    <t>bon na zas.</t>
  </si>
  <si>
    <t>wg VII</t>
  </si>
  <si>
    <t>bon zas.</t>
  </si>
  <si>
    <t>2015=100 proc.</t>
  </si>
  <si>
    <t>Razem 7 podstawowych form</t>
  </si>
  <si>
    <t>6 aktywnych form MRPiPS</t>
  </si>
  <si>
    <t>Razem 6 podstawowych form</t>
  </si>
  <si>
    <t>6 aktywnych form</t>
  </si>
  <si>
    <t>7 aktywnych form</t>
  </si>
  <si>
    <t>7 aktywnych form (por.)</t>
  </si>
  <si>
    <t>Razem 7 form (do por.)</t>
  </si>
  <si>
    <t>Efektywność zatrudnieniowa (w proc.)</t>
  </si>
  <si>
    <t>Efektywność kosztowa (w proc.)</t>
  </si>
  <si>
    <t>proc.</t>
  </si>
  <si>
    <t>Razem 6 form (do por.)</t>
  </si>
  <si>
    <t>Koszty (w tys. zł.)</t>
  </si>
  <si>
    <t>Uczestnicy form aktywnych z katalogu MRiPS</t>
  </si>
  <si>
    <t>Razem 6 form</t>
  </si>
  <si>
    <t>średni koszt uczestnictwa</t>
  </si>
  <si>
    <t>1 osoby</t>
  </si>
  <si>
    <t>6 form</t>
  </si>
  <si>
    <t>7 form</t>
  </si>
  <si>
    <t>Formy aktywne z katalogu MRPiPS</t>
  </si>
  <si>
    <t>3 najb. kumul. formy</t>
  </si>
  <si>
    <r>
      <t xml:space="preserve">7 podstawowych form - </t>
    </r>
    <r>
      <rPr>
        <sz val="11"/>
        <color rgb="FFFF0000"/>
        <rFont val="Times New Roman"/>
        <family val="1"/>
        <charset val="238"/>
      </rPr>
      <t>efektywność zatrudnieniowa</t>
    </r>
  </si>
  <si>
    <r>
      <t xml:space="preserve">7 podstawowych form - </t>
    </r>
    <r>
      <rPr>
        <sz val="11"/>
        <color rgb="FFFF0000"/>
        <rFont val="Times New Roman"/>
        <family val="1"/>
        <charset val="238"/>
      </rPr>
      <t>efektywność kosztowa (koszt p. zatrudnienia)</t>
    </r>
  </si>
  <si>
    <t>Wskaźniki efektywności w 2021 roku, województwo podkarpackie</t>
  </si>
  <si>
    <t>Wskaźniki efektywności w 2020 roku, województwo podkarpackie</t>
  </si>
  <si>
    <t>Wskaźniki efektywności w 2019 roku, województwo podkarpackie</t>
  </si>
  <si>
    <t>Wskaźniki efektywności w 2018 roku, województwo podkarpackie</t>
  </si>
  <si>
    <t>Wskaźniki efektywności w 2017 roku, województwo podkarpackie</t>
  </si>
  <si>
    <t>Wskaźniki efektywności w 2016 roku, województwo podkarpackie</t>
  </si>
  <si>
    <t>Wskaźniki efektywności w 2015 roku, województwo podkarpackie</t>
  </si>
  <si>
    <t>Lata</t>
  </si>
  <si>
    <t>Bezrobotni zatrudnieni</t>
  </si>
  <si>
    <t>po zakończeniu form aktywnych</t>
  </si>
  <si>
    <t>Ogólna liczba bezrobotnych</t>
  </si>
  <si>
    <t>31 XII danego roku</t>
  </si>
  <si>
    <t>Różnica pomiędzy bezrobotnymi kończącymi udział w aktywnych formach a zatrudnionymi po zakonczeniu aktywizacji</t>
  </si>
  <si>
    <t>Udział zatrudnionych po ukończeniu aktywnych form w stosunku do poziomu bezrobocia w PUP</t>
  </si>
  <si>
    <t>w złotych - pełne koszty w stosunku do osób zatrudnionych</t>
  </si>
  <si>
    <r>
      <t>(</t>
    </r>
    <r>
      <rPr>
        <b/>
        <sz val="9"/>
        <color theme="1"/>
        <rFont val="Arial"/>
        <family val="2"/>
        <charset val="238"/>
      </rPr>
      <t>w zł,</t>
    </r>
    <r>
      <rPr>
        <sz val="9"/>
        <color theme="1"/>
        <rFont val="Arial"/>
        <family val="2"/>
        <charset val="238"/>
      </rPr>
      <t xml:space="preserve"> średni koszt na 1 osobę)</t>
    </r>
  </si>
  <si>
    <t>Dofinansowanie do podejmowania działalności gospodarczej</t>
  </si>
  <si>
    <t>(w zł na 1 osobę)</t>
  </si>
  <si>
    <t>Wskaźniki efekrywności 2022 rok</t>
  </si>
  <si>
    <t>24</t>
  </si>
  <si>
    <t>25</t>
  </si>
  <si>
    <t>26</t>
  </si>
  <si>
    <t>27</t>
  </si>
  <si>
    <t>1863</t>
  </si>
  <si>
    <t>Wskaźniki efektywności w 2022 roku, województwo podkarpackie</t>
  </si>
  <si>
    <t>6 Podst. form - efektywność  kosztowa tj. koszt ponownego zatrud.,  w zł. średni na 1 osobę zatr. po zak. prog.</t>
  </si>
  <si>
    <t>7 podst.form</t>
  </si>
  <si>
    <t>6 podst. form</t>
  </si>
  <si>
    <t>7 podst. form</t>
  </si>
  <si>
    <t>średnia liczba bezrobotnych [w roku]</t>
  </si>
  <si>
    <t>Koszty</t>
  </si>
  <si>
    <t>Razem 6 form AKTYWNYCH</t>
  </si>
  <si>
    <t>Razem 7 podstawowych form wg katalogu MRiPS</t>
  </si>
  <si>
    <t>(w zł, średni koszt</t>
  </si>
  <si>
    <t xml:space="preserve">na 1 osobę) </t>
  </si>
  <si>
    <t>Efektywności kosztowej</t>
  </si>
  <si>
    <t>(w zł, średni na</t>
  </si>
  <si>
    <t>1 osobę)</t>
  </si>
  <si>
    <t>do 7 form</t>
  </si>
  <si>
    <t>Bezrobotni rozpoczynający aktywne formy</t>
  </si>
  <si>
    <t>Bezrobotni kończący udział w aktywnych formach</t>
  </si>
  <si>
    <t>Wskaźniki efektywności w 2023 roku, województwo podkarpackie</t>
  </si>
  <si>
    <t>Wskaźniki efektywności w 2024 roku, województwo podkarpackie</t>
  </si>
  <si>
    <t>a) Z jednym znakiem po przecinku.</t>
  </si>
  <si>
    <t>b) W wierszach rubryki 2, 3, 4 należy tylko raz ujmować osoby, niezależnie od liczby miesięcy.</t>
  </si>
  <si>
    <r>
      <rPr>
        <vertAlign val="superscript"/>
        <sz val="10"/>
        <rFont val="Arial"/>
        <family val="2"/>
        <charset val="238"/>
      </rPr>
      <t>a)</t>
    </r>
    <r>
      <rPr>
        <sz val="11"/>
        <color theme="1"/>
        <rFont val="Arial"/>
        <family val="2"/>
        <charset val="238"/>
      </rPr>
      <t xml:space="preserve"> Z jednym znakiem po przecinku.</t>
    </r>
  </si>
  <si>
    <r>
      <t>b)</t>
    </r>
    <r>
      <rPr>
        <sz val="11"/>
        <color theme="1"/>
        <rFont val="Arial"/>
        <family val="2"/>
        <charset val="238"/>
      </rPr>
      <t xml:space="preserve"> W wierszach rubryki 2, 3, 4 należy tylko raz ujmować osoby, niezależnie od liczby miesięcy.</t>
    </r>
  </si>
  <si>
    <r>
      <t>a)</t>
    </r>
    <r>
      <rPr>
        <sz val="7"/>
        <color rgb="FF000000"/>
        <rFont val="Arial"/>
        <family val="2"/>
        <charset val="238"/>
      </rPr>
      <t xml:space="preserve"> </t>
    </r>
    <r>
      <rPr>
        <sz val="8"/>
        <color rgb="FF000000"/>
        <rFont val="Arial"/>
        <family val="2"/>
        <charset val="238"/>
      </rPr>
      <t>Z jednym znakiem po przecinku.</t>
    </r>
  </si>
  <si>
    <r>
      <t>b)</t>
    </r>
    <r>
      <rPr>
        <sz val="7"/>
        <color rgb="FF000000"/>
        <rFont val="Arial"/>
        <family val="2"/>
        <charset val="238"/>
      </rPr>
      <t xml:space="preserve"> </t>
    </r>
    <r>
      <rPr>
        <sz val="8"/>
        <color rgb="FF000000"/>
        <rFont val="Arial"/>
        <family val="2"/>
        <charset val="238"/>
      </rPr>
      <t>W wierszach rubryki 2, 3, 4 należy tylko raz ujmować osoby, niezależnie od liczby miesięcy.</t>
    </r>
  </si>
  <si>
    <r>
      <t>Sporządzający sprawozdanie:                                                                                                                                                           - Wojewódzki Urząd Pracy (WUP)                                       w ......................................................,                                                                                                                                                                    - Powiatowy Urząd Pracy (PUP)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 .............................................                                                                                               Numer idendyfikacyjny - REGON                                                                                     L L L L L L L L L L</t>
    </r>
    <r>
      <rPr>
        <sz val="11"/>
        <color theme="1"/>
        <rFont val="Calibri"/>
        <family val="2"/>
        <charset val="238"/>
        <scheme val="minor"/>
      </rPr>
      <t/>
    </r>
  </si>
  <si>
    <t>Formy aktywizacji zawodowej, z tego (suma wierszy od 02 do 19, 21, od 23 do 26)</t>
  </si>
  <si>
    <r>
      <t xml:space="preserve">Sporządzający sprawozdanie:                                                                                                                                                           - Wojewódzki Urząd Pracy (WUP)                                       w ......................................................,                                                                                                                                                                    - Powiatowy Urząd Pracy (PUP)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 .............................................                                                                                               Numer idendyfikacyjny - REGON                                                                                   </t>
    </r>
    <r>
      <rPr>
        <sz val="10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 xml:space="preserve"> L L L L L L L L L L</t>
    </r>
    <r>
      <rPr>
        <sz val="11"/>
        <color theme="1"/>
        <rFont val="Calibri"/>
        <family val="2"/>
        <charset val="238"/>
        <scheme val="minor"/>
      </rPr>
      <t/>
    </r>
  </si>
  <si>
    <t>PRZECIĘTNE ZATRUDNIENIE W PRZEMYŚLE W LATACH 1995–2024,  dane dla POLSKI W TYS. ETATÓW</t>
  </si>
  <si>
    <t>MINISTERSTWO RODZINY, PRACY I POLITYKI SPOŁECZNEJ
NOWOGRODZKA 1/3/5 00-513 Warszawa</t>
  </si>
  <si>
    <t>Sporządzający sprawozdanie:
- Wojewódzki Urząd Pracy (WUP) 
w ............................................., 
- Powiatowy Urząd Pracy (PUP) 
w ............................................., 
Numer identyfikacyjny - REGON 
L L L L L L L L L</t>
  </si>
  <si>
    <t>Załącznik do sprawozdania MRPiPS-02 Efektywność programów na rzecz promocji zatrudnienia za 2026 rok</t>
  </si>
  <si>
    <t xml:space="preserve">Termin przekazania: zgodnie z programem 
PBSSP 2026 r. </t>
  </si>
  <si>
    <t>Formy pomocy (suma w. 02-18 oraz 21-31)</t>
  </si>
  <si>
    <t>Opłaty pobierane za postępowania nostryfikacyjne</t>
  </si>
  <si>
    <t>Opłaty za uznanie kwalifikacji zawodowych do zawodu regulowanego</t>
  </si>
  <si>
    <t>Bony na kształcenie ustawiczne</t>
  </si>
  <si>
    <t>Pożyczki edukacyjne</t>
  </si>
  <si>
    <t>Zwrot kosztów wynagrodzeń, nagród i składek w DPS i jednostkach WRiPZ</t>
  </si>
  <si>
    <t>Dofinansowanie wynagrodzeń skierowanych bezrobotnych 50+</t>
  </si>
  <si>
    <t>Dofinansowanie wynagrodzeń skierowanych poszukujących pracy 60/65+</t>
  </si>
  <si>
    <t>Prace społecznie użyteczne</t>
  </si>
  <si>
    <t>Refundacja wynagrodzeń, nagród i składek za skierowanych opiekunów osoby niepełnosprawnej</t>
  </si>
  <si>
    <t>Granty na utworzenie stanowiska pracy zdalnej</t>
  </si>
  <si>
    <t>Świadczenia aktywizacyjne</t>
  </si>
  <si>
    <t>Dofinansowanie podjęcia działalności gospodarczej</t>
  </si>
  <si>
    <t>w ramach przedsiębiorstw społecznych</t>
  </si>
  <si>
    <t>Środki na założenie lub przystąpienie do spółdzielni socjalnej</t>
  </si>
  <si>
    <t>Koszty utworzenia stanowiska pracy dla osób skierowanych do przedsiębiorstw społecznych</t>
  </si>
  <si>
    <t>Finansowanie wynagrodzeń osób skierowanych do spółdzielni socjalnej</t>
  </si>
  <si>
    <t>Finansowanie wynagrodzeń osób skierowanych do przedsiębiorstw społecznych</t>
  </si>
  <si>
    <t>Działania w zakresie reintegracji długotrwale bezrobotnych</t>
  </si>
  <si>
    <t>Składki na ubezpieczenia społeczne członków spółdzielni socjalnych</t>
  </si>
  <si>
    <t>Składki na ubezpieczenia społeczne pracowników przedsiębiorstw społecznych</t>
  </si>
  <si>
    <t>Suma kontrolna (w. od 01 do 31)</t>
  </si>
  <si>
    <t>Czas na przygotowanie danych do wypełnienia formularza (w min)</t>
  </si>
  <si>
    <t>Czas na wypełnienie formularza (w min)</t>
  </si>
  <si>
    <r>
      <t xml:space="preserve">Wydatki Funduszu Pracy w zł </t>
    </r>
    <r>
      <rPr>
        <vertAlign val="superscript"/>
        <sz val="8"/>
        <rFont val="Arial"/>
        <family val="2"/>
        <charset val="238"/>
      </rPr>
      <t>a)</t>
    </r>
  </si>
  <si>
    <r>
      <t xml:space="preserve">Liczba osób uczestniczących 
w danej formie pomocy </t>
    </r>
    <r>
      <rPr>
        <vertAlign val="superscript"/>
        <sz val="8"/>
        <color theme="1"/>
        <rFont val="Arial"/>
        <family val="2"/>
        <charset val="238"/>
      </rPr>
      <t>b)</t>
    </r>
  </si>
  <si>
    <r>
      <t xml:space="preserve">Liczba osób, które zakończyły udział 
w danej formie pomocy </t>
    </r>
    <r>
      <rPr>
        <vertAlign val="superscript"/>
        <sz val="8"/>
        <color theme="1"/>
        <rFont val="Arial"/>
        <family val="2"/>
        <charset val="238"/>
      </rPr>
      <t>b)</t>
    </r>
  </si>
  <si>
    <r>
      <t xml:space="preserve">Liczba osób, które zostały zatrudnione </t>
    </r>
    <r>
      <rPr>
        <vertAlign val="superscript"/>
        <sz val="8"/>
        <color theme="1"/>
        <rFont val="Arial"/>
        <family val="2"/>
        <charset val="238"/>
      </rPr>
      <t>b)</t>
    </r>
  </si>
  <si>
    <r>
      <rPr>
        <vertAlign val="superscript"/>
        <sz val="8"/>
        <rFont val="Arial"/>
        <family val="2"/>
        <charset val="238"/>
      </rPr>
      <t>a)</t>
    </r>
    <r>
      <rPr>
        <sz val="8"/>
        <color theme="1"/>
        <rFont val="Arial"/>
        <family val="2"/>
        <charset val="238"/>
      </rPr>
      <t xml:space="preserve"> Do dwóch miejsc po przecinku (grosze).</t>
    </r>
  </si>
  <si>
    <r>
      <t>b)</t>
    </r>
    <r>
      <rPr>
        <sz val="8"/>
        <color theme="1"/>
        <rFont val="Arial"/>
        <family val="2"/>
        <charset val="238"/>
      </rPr>
      <t xml:space="preserve"> W wierszach kolumny 2, 3, 4 należy ujmować tylko raz osoby za które dokonano wydatku w roku, niezależnie od liczby miesięcy.</t>
    </r>
  </si>
  <si>
    <t>R1</t>
  </si>
  <si>
    <t>R2</t>
  </si>
  <si>
    <t>R3</t>
  </si>
  <si>
    <t>R4</t>
  </si>
  <si>
    <t>28</t>
  </si>
  <si>
    <t>29</t>
  </si>
  <si>
    <t>30</t>
  </si>
  <si>
    <t>31</t>
  </si>
  <si>
    <t>Formy aktywizacji zawodowej w. 02-20   24-30</t>
  </si>
  <si>
    <t>STAŻE</t>
  </si>
  <si>
    <t>SZKOLENIA</t>
  </si>
  <si>
    <t>ROBOTY  PUBLICZNE</t>
  </si>
  <si>
    <t>PRACE   INTERWENCYJNE</t>
  </si>
  <si>
    <t>PRACE   SPOŁECZNIE  UŻYTECZNE</t>
  </si>
  <si>
    <t>Program aktywizacja integracja</t>
  </si>
  <si>
    <t>Przygotoanie zawodowe dorosłych</t>
  </si>
  <si>
    <t>Refundacje składek na ubezpieczenia społeczne</t>
  </si>
  <si>
    <t>BON ZATRUDNIENIOWY</t>
  </si>
  <si>
    <t>Dofinansowanie wynagrodzenia skierowanych bezrob. pow. 50 r.ż.</t>
  </si>
  <si>
    <t>świadczenie aktywizacyjne</t>
  </si>
  <si>
    <t>w tym w ramach spółdzielni socjalnej</t>
  </si>
  <si>
    <t>Zwrot kosztów wynagrodzeń, nagród i składek w DPS</t>
  </si>
  <si>
    <t>Koszty wynagrodzeń pracowników przedsiębiorstw społecznych</t>
  </si>
  <si>
    <t>Koszty utworzenia miejsca pracy dla osób skierowanych do spółdzielni socjalnej</t>
  </si>
  <si>
    <t>Koszty utworzenia miejsca pracy dla przedsiębiorstw społecznych</t>
  </si>
  <si>
    <t>suma kontrolna 1-30</t>
  </si>
  <si>
    <t>czas na przygotowanie danych</t>
  </si>
  <si>
    <t>czas na wypełnienie</t>
  </si>
  <si>
    <t>B</t>
  </si>
  <si>
    <t>D</t>
  </si>
  <si>
    <t>G</t>
  </si>
  <si>
    <t>C</t>
  </si>
  <si>
    <t>E</t>
  </si>
  <si>
    <t>F</t>
  </si>
  <si>
    <t>H</t>
  </si>
  <si>
    <t>1862</t>
  </si>
  <si>
    <t>1821</t>
  </si>
  <si>
    <t>1820</t>
  </si>
  <si>
    <t>1819</t>
  </si>
  <si>
    <t>1818</t>
  </si>
  <si>
    <t>1817</t>
  </si>
  <si>
    <t>1815</t>
  </si>
  <si>
    <t>1814</t>
  </si>
  <si>
    <t>1812</t>
  </si>
  <si>
    <t>1811</t>
  </si>
  <si>
    <t>1810</t>
  </si>
  <si>
    <t>1809</t>
  </si>
  <si>
    <t>1808</t>
  </si>
  <si>
    <t>1807</t>
  </si>
  <si>
    <t>1806</t>
  </si>
  <si>
    <t>1805</t>
  </si>
  <si>
    <t>1804</t>
  </si>
  <si>
    <t>1803</t>
  </si>
  <si>
    <t>1802</t>
  </si>
  <si>
    <t>1801</t>
  </si>
  <si>
    <r>
      <t>Wydatki Funduszu Pracy w tys. zł</t>
    </r>
    <r>
      <rPr>
        <vertAlign val="superscript"/>
        <sz val="11"/>
        <color theme="1"/>
        <rFont val="Arial"/>
        <family val="2"/>
        <charset val="238"/>
      </rPr>
      <t>a)</t>
    </r>
  </si>
  <si>
    <r>
      <t>Liczba osób uczestniczących w danej formie aktywizacji</t>
    </r>
    <r>
      <rPr>
        <vertAlign val="superscript"/>
        <sz val="11"/>
        <color theme="1"/>
        <rFont val="Arial"/>
        <family val="2"/>
        <charset val="238"/>
      </rPr>
      <t>b)</t>
    </r>
  </si>
  <si>
    <r>
      <t xml:space="preserve">Liczba osób, które zakończyły udział w danej formie aktywizacji </t>
    </r>
    <r>
      <rPr>
        <vertAlign val="superscript"/>
        <sz val="11"/>
        <color theme="1"/>
        <rFont val="Arial"/>
        <family val="2"/>
        <charset val="238"/>
      </rPr>
      <t>b)</t>
    </r>
  </si>
  <si>
    <r>
      <t xml:space="preserve">Liczba osób, które zostały zatrudnione </t>
    </r>
    <r>
      <rPr>
        <vertAlign val="superscript"/>
        <sz val="11"/>
        <color theme="1"/>
        <rFont val="Arial"/>
        <family val="2"/>
        <charset val="238"/>
      </rPr>
      <t>b)</t>
    </r>
  </si>
  <si>
    <r>
      <t xml:space="preserve">Wydatki Funduszu Pracy </t>
    </r>
    <r>
      <rPr>
        <b/>
        <sz val="11"/>
        <color theme="1"/>
        <rFont val="Arial"/>
        <family val="2"/>
        <charset val="238"/>
      </rPr>
      <t xml:space="preserve">w tys. zł </t>
    </r>
    <r>
      <rPr>
        <vertAlign val="superscript"/>
        <sz val="11"/>
        <color theme="1"/>
        <rFont val="Arial"/>
        <family val="2"/>
        <charset val="238"/>
      </rPr>
      <t>a)</t>
    </r>
  </si>
  <si>
    <t>Kosztowa, WEK *</t>
  </si>
  <si>
    <t>6 AF</t>
  </si>
  <si>
    <t>7 AF</t>
  </si>
  <si>
    <r>
      <t>6 podstawowych form -</t>
    </r>
    <r>
      <rPr>
        <sz val="11"/>
        <color rgb="FF0000FF"/>
        <rFont val="Arial"/>
        <family val="2"/>
        <charset val="238"/>
      </rPr>
      <t xml:space="preserve"> rozpoczęcie</t>
    </r>
  </si>
  <si>
    <r>
      <t>6 podstawowych form -</t>
    </r>
    <r>
      <rPr>
        <sz val="11"/>
        <color rgb="FF0000FF"/>
        <rFont val="Arial"/>
        <family val="2"/>
        <charset val="238"/>
      </rPr>
      <t xml:space="preserve"> podjęcie pracy</t>
    </r>
  </si>
  <si>
    <r>
      <t>6 podstawowych form -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color rgb="FF0000FF"/>
        <rFont val="Arial"/>
        <family val="2"/>
        <charset val="238"/>
      </rPr>
      <t>koszty  w tys. zł.</t>
    </r>
  </si>
  <si>
    <r>
      <t>6 podstawowych form -</t>
    </r>
    <r>
      <rPr>
        <sz val="11"/>
        <color rgb="FF0000FF"/>
        <rFont val="Arial"/>
        <family val="2"/>
        <charset val="238"/>
      </rPr>
      <t xml:space="preserve"> efektywność zatrudnieniowa</t>
    </r>
  </si>
  <si>
    <r>
      <t>6 podstawowych form -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color rgb="FF0000FF"/>
        <rFont val="Arial"/>
        <family val="2"/>
        <charset val="238"/>
      </rPr>
      <t>przeliczone koszty do efektywności kosztowej (wydatki kasowo) - w zł.</t>
    </r>
  </si>
  <si>
    <r>
      <t>6 podstawowych form -</t>
    </r>
    <r>
      <rPr>
        <sz val="11"/>
        <color rgb="FF0000FF"/>
        <rFont val="Arial"/>
        <family val="2"/>
        <charset val="238"/>
      </rPr>
      <t xml:space="preserve"> zakończenie</t>
    </r>
  </si>
  <si>
    <r>
      <t xml:space="preserve">6 podstawowych form </t>
    </r>
    <r>
      <rPr>
        <sz val="11"/>
        <color rgb="FF0000FF"/>
        <rFont val="Arial"/>
        <family val="2"/>
        <charset val="238"/>
      </rPr>
      <t xml:space="preserve">- koszty  </t>
    </r>
    <r>
      <rPr>
        <sz val="11"/>
        <color theme="1"/>
        <rFont val="Arial"/>
        <family val="2"/>
        <charset val="238"/>
      </rPr>
      <t>w tys. zł.</t>
    </r>
  </si>
  <si>
    <r>
      <t xml:space="preserve">6 podstawowych form - </t>
    </r>
    <r>
      <rPr>
        <sz val="11"/>
        <color rgb="FF0000FF"/>
        <rFont val="Arial"/>
        <family val="2"/>
        <charset val="238"/>
      </rPr>
      <t>efektywność zatrudnieniowa</t>
    </r>
  </si>
  <si>
    <r>
      <t>6 podstawowych form -</t>
    </r>
    <r>
      <rPr>
        <sz val="11"/>
        <color rgb="FFFF0000"/>
        <rFont val="Arial"/>
        <family val="2"/>
        <charset val="238"/>
      </rPr>
      <t xml:space="preserve"> p</t>
    </r>
    <r>
      <rPr>
        <sz val="11"/>
        <color rgb="FF0000FF"/>
        <rFont val="Arial"/>
        <family val="2"/>
        <charset val="238"/>
      </rPr>
      <t>rzeliczone koszty do efektywności kosztowej (wydatki kasowo) - w zł.</t>
    </r>
  </si>
  <si>
    <t>Wskaźniki efekrywności 2024 rok</t>
  </si>
  <si>
    <t>Wskaźniki efekrywności 2023 rok</t>
  </si>
  <si>
    <t>Lokaty w 2023 r.</t>
  </si>
  <si>
    <t>Bezrobotni kończący udział</t>
  </si>
  <si>
    <t>2023=100 proc.</t>
  </si>
  <si>
    <t>Udział [w proc.], bezrobotni zatrudnieni po formach</t>
  </si>
  <si>
    <t>aktywnych, a ogólna liczba bezrobotnych na 31-12 danego roku.</t>
  </si>
  <si>
    <t>Koszty, efektywność kosztowa</t>
  </si>
  <si>
    <t>Efektywność zatrudnieniowa - wskaźnik</t>
  </si>
  <si>
    <t>wydatki</t>
  </si>
  <si>
    <t>wydatki w tys. zł.</t>
  </si>
  <si>
    <t>Bon na zas.</t>
  </si>
  <si>
    <t>Dof. działaln. gosp.</t>
  </si>
  <si>
    <t>Refund. kosztów wyp. lub dopos. M. pracy</t>
  </si>
  <si>
    <t>Efektywność  kosztowa*</t>
  </si>
  <si>
    <t>WEK - Wskaźnik efektywności kosztowej - koszt ponownego zatrudnienia.</t>
  </si>
  <si>
    <t>2024 (zł)</t>
  </si>
  <si>
    <t>wzrost/</t>
  </si>
  <si>
    <t>spadek</t>
  </si>
  <si>
    <r>
      <t>(</t>
    </r>
    <r>
      <rPr>
        <b/>
        <sz val="11"/>
        <color rgb="FF000000"/>
        <rFont val="Arial"/>
        <family val="2"/>
        <charset val="238"/>
      </rPr>
      <t>w tys. zł</t>
    </r>
    <r>
      <rPr>
        <sz val="11"/>
        <color rgb="FF000000"/>
        <rFont val="Arial"/>
        <family val="2"/>
        <charset val="238"/>
      </rPr>
      <t>)</t>
    </r>
  </si>
  <si>
    <t>2025</t>
  </si>
  <si>
    <t>2025 ROK</t>
  </si>
  <si>
    <r>
      <t xml:space="preserve">Wydatki Funduszu Pracy </t>
    </r>
    <r>
      <rPr>
        <b/>
        <sz val="11"/>
        <color rgb="FF0000FF"/>
        <rFont val="Arial"/>
        <family val="2"/>
        <charset val="238"/>
      </rPr>
      <t>w tys. zł</t>
    </r>
    <r>
      <rPr>
        <b/>
        <sz val="11"/>
        <color theme="1"/>
        <rFont val="Arial"/>
        <family val="2"/>
        <charset val="238"/>
      </rPr>
      <t xml:space="preserve"> </t>
    </r>
    <r>
      <rPr>
        <vertAlign val="superscript"/>
        <sz val="11"/>
        <color theme="1"/>
        <rFont val="Arial"/>
        <family val="2"/>
        <charset val="238"/>
      </rPr>
      <t>a)</t>
    </r>
  </si>
  <si>
    <t>Wskaźniki efektywności w 2025 roku, województwo podkarpackie</t>
  </si>
  <si>
    <t>Efektywnosć kosztowa w 2025 r.</t>
  </si>
  <si>
    <t>Efektywność kosztowa i zatrudnieniowa w 2025 r. - województwo podkarpackie</t>
  </si>
  <si>
    <t>Efektywność zatrudnieniowa 2025</t>
  </si>
  <si>
    <t>Efektywność kosztowa 2025</t>
  </si>
  <si>
    <t>Wskaźniki efekrywności 2025 rok</t>
  </si>
  <si>
    <t>Lokaty w 2025 r.</t>
  </si>
  <si>
    <t>2025 (zł)</t>
  </si>
  <si>
    <t>Efektywnosć zatrudnieniowa i kosztowa w 2025 roku, województwo podkarpackie</t>
  </si>
  <si>
    <t>2024=100 proc.</t>
  </si>
  <si>
    <t>2025 rok</t>
  </si>
  <si>
    <t>Refund. kosztów wyp. lub dopos. m. pracy</t>
  </si>
  <si>
    <t>Różnica [liczba osób]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</si>
</sst>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,##0.000"/>
    <numFmt numFmtId="167" formatCode="0.0000"/>
  </numFmts>
  <fonts count="47" x14ac:knownFonts="1"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6"/>
      <color indexed="8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vertAlign val="subscript"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1"/>
      <color rgb="FF0000FF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u/>
      <sz val="9"/>
      <color theme="1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1"/>
      <color theme="1"/>
      <name val="Arial"/>
      <family val="2"/>
      <charset val="238"/>
    </font>
    <font>
      <sz val="9"/>
      <name val="Arial"/>
      <family val="2"/>
      <charset val="238"/>
    </font>
    <font>
      <sz val="8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7"/>
      <color rgb="FF000000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3333FF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0000FF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rgb="FFE7EEF5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/>
      <top/>
      <bottom/>
      <diagonal style="mediumDashDotDot">
        <color rgb="FFEFF4F5"/>
      </diagonal>
    </border>
    <border diagonalUp="1">
      <left/>
      <right/>
      <top/>
      <bottom/>
      <diagonal style="double">
        <color theme="0" tint="-0.14996795556505021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ck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1" fillId="0" borderId="0">
      <alignment horizontal="left" vertical="center"/>
    </xf>
    <xf numFmtId="0" fontId="2" fillId="0" borderId="0">
      <alignment horizontal="left" vertical="center"/>
    </xf>
    <xf numFmtId="0" fontId="1" fillId="0" borderId="0">
      <alignment horizontal="left" vertical="center"/>
    </xf>
    <xf numFmtId="0" fontId="3" fillId="0" borderId="0">
      <alignment horizontal="center" vertical="center"/>
    </xf>
    <xf numFmtId="0" fontId="3" fillId="0" borderId="0">
      <alignment horizontal="center" vertical="center"/>
    </xf>
    <xf numFmtId="0" fontId="3" fillId="0" borderId="0">
      <alignment horizontal="center" vertical="center"/>
    </xf>
    <xf numFmtId="0" fontId="4" fillId="0" borderId="0">
      <alignment horizontal="right" vertical="center"/>
    </xf>
    <xf numFmtId="0" fontId="4" fillId="0" borderId="0">
      <alignment horizontal="right" vertical="center"/>
    </xf>
    <xf numFmtId="0" fontId="3" fillId="0" borderId="0">
      <alignment horizontal="center" vertical="center"/>
    </xf>
    <xf numFmtId="0" fontId="3" fillId="0" borderId="0">
      <alignment horizontal="center" vertical="center"/>
    </xf>
    <xf numFmtId="0" fontId="4" fillId="0" borderId="0">
      <alignment horizontal="center" vertical="center"/>
    </xf>
    <xf numFmtId="0" fontId="3" fillId="0" borderId="0">
      <alignment horizontal="center" vertical="center"/>
    </xf>
    <xf numFmtId="0" fontId="5" fillId="0" borderId="0">
      <alignment horizontal="right" vertical="center"/>
    </xf>
    <xf numFmtId="0" fontId="11" fillId="0" borderId="0" applyNumberFormat="0" applyFill="0" applyBorder="0" applyAlignment="0" applyProtection="0"/>
    <xf numFmtId="0" fontId="23" fillId="0" borderId="0"/>
  </cellStyleXfs>
  <cellXfs count="920">
    <xf numFmtId="0" fontId="0" fillId="0" borderId="0" xfId="0"/>
    <xf numFmtId="165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0" fillId="2" borderId="0" xfId="0" applyFill="1"/>
    <xf numFmtId="0" fontId="0" fillId="3" borderId="6" xfId="0" applyFill="1" applyBorder="1"/>
    <xf numFmtId="0" fontId="7" fillId="2" borderId="0" xfId="0" applyFont="1" applyFill="1" applyAlignment="1">
      <alignment horizontal="center" vertical="center"/>
    </xf>
    <xf numFmtId="0" fontId="8" fillId="2" borderId="1" xfId="0" quotePrefix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0" xfId="0" applyFont="1" applyFill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3" fontId="7" fillId="2" borderId="1" xfId="0" applyNumberFormat="1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center" vertical="center"/>
    </xf>
    <xf numFmtId="3" fontId="7" fillId="2" borderId="1" xfId="0" quotePrefix="1" applyNumberFormat="1" applyFont="1" applyFill="1" applyBorder="1" applyAlignment="1">
      <alignment horizontal="center" vertical="center"/>
    </xf>
    <xf numFmtId="3" fontId="7" fillId="2" borderId="1" xfId="0" quotePrefix="1" applyNumberFormat="1" applyFont="1" applyFill="1" applyBorder="1" applyAlignment="1">
      <alignment horizontal="left" vertical="center"/>
    </xf>
    <xf numFmtId="165" fontId="7" fillId="0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 indent="12"/>
    </xf>
    <xf numFmtId="0" fontId="12" fillId="2" borderId="29" xfId="0" applyFont="1" applyFill="1" applyBorder="1" applyAlignment="1">
      <alignment horizontal="left" vertical="center" wrapText="1" indent="15"/>
    </xf>
    <xf numFmtId="0" fontId="12" fillId="2" borderId="30" xfId="0" applyFont="1" applyFill="1" applyBorder="1" applyAlignment="1">
      <alignment horizontal="left" vertical="center" wrapText="1" indent="15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vertical="center" wrapText="1"/>
    </xf>
    <xf numFmtId="0" fontId="12" fillId="2" borderId="30" xfId="0" applyFont="1" applyFill="1" applyBorder="1" applyAlignment="1">
      <alignment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right" vertical="center" wrapText="1"/>
    </xf>
    <xf numFmtId="0" fontId="12" fillId="2" borderId="22" xfId="0" applyFont="1" applyFill="1" applyBorder="1" applyAlignment="1">
      <alignment vertical="center" wrapText="1"/>
    </xf>
    <xf numFmtId="0" fontId="12" fillId="2" borderId="19" xfId="0" applyFont="1" applyFill="1" applyBorder="1" applyAlignment="1">
      <alignment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right" vertical="center" wrapText="1"/>
    </xf>
    <xf numFmtId="0" fontId="12" fillId="2" borderId="21" xfId="0" applyFont="1" applyFill="1" applyBorder="1" applyAlignment="1">
      <alignment vertical="center" wrapText="1"/>
    </xf>
    <xf numFmtId="0" fontId="12" fillId="2" borderId="32" xfId="0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left" vertical="center" indent="1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 indent="15"/>
    </xf>
    <xf numFmtId="0" fontId="12" fillId="2" borderId="0" xfId="0" applyFont="1" applyFill="1" applyAlignment="1">
      <alignment horizontal="left" vertical="center" indent="11"/>
    </xf>
    <xf numFmtId="0" fontId="12" fillId="2" borderId="0" xfId="0" applyFont="1" applyFill="1" applyAlignment="1">
      <alignment horizontal="left" vertical="center" indent="12"/>
    </xf>
    <xf numFmtId="0" fontId="8" fillId="2" borderId="0" xfId="0" applyFont="1" applyFill="1"/>
    <xf numFmtId="0" fontId="8" fillId="2" borderId="1" xfId="0" applyFont="1" applyFill="1" applyBorder="1" applyAlignment="1">
      <alignment vertic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3" fontId="14" fillId="2" borderId="0" xfId="0" applyNumberFormat="1" applyFont="1" applyFill="1" applyAlignment="1">
      <alignment horizontal="left" vertical="center"/>
    </xf>
    <xf numFmtId="3" fontId="16" fillId="2" borderId="0" xfId="0" applyNumberFormat="1" applyFont="1" applyFill="1" applyAlignment="1">
      <alignment horizontal="center" vertical="center"/>
    </xf>
    <xf numFmtId="165" fontId="16" fillId="2" borderId="0" xfId="0" applyNumberFormat="1" applyFont="1" applyFill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3" fontId="14" fillId="2" borderId="4" xfId="0" applyNumberFormat="1" applyFont="1" applyFill="1" applyBorder="1" applyAlignment="1">
      <alignment horizontal="center" vertical="center"/>
    </xf>
    <xf numFmtId="3" fontId="14" fillId="2" borderId="5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2" borderId="0" xfId="0" applyNumberFormat="1" applyFont="1" applyFill="1" applyAlignment="1">
      <alignment horizontal="left" vertical="center"/>
    </xf>
    <xf numFmtId="0" fontId="16" fillId="2" borderId="0" xfId="0" applyFont="1" applyFill="1"/>
    <xf numFmtId="3" fontId="7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left" vertical="center"/>
    </xf>
    <xf numFmtId="3" fontId="7" fillId="0" borderId="1" xfId="0" quotePrefix="1" applyNumberFormat="1" applyFont="1" applyFill="1" applyBorder="1" applyAlignment="1">
      <alignment horizontal="left" vertical="center"/>
    </xf>
    <xf numFmtId="3" fontId="7" fillId="0" borderId="1" xfId="0" quotePrefix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164" fontId="9" fillId="2" borderId="0" xfId="0" applyNumberFormat="1" applyFont="1" applyFill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left" vertical="center" wrapText="1"/>
    </xf>
    <xf numFmtId="0" fontId="19" fillId="2" borderId="40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wrapText="1"/>
    </xf>
    <xf numFmtId="0" fontId="19" fillId="2" borderId="41" xfId="0" applyFont="1" applyFill="1" applyBorder="1" applyAlignment="1">
      <alignment horizontal="left" vertical="center" wrapText="1"/>
    </xf>
    <xf numFmtId="0" fontId="9" fillId="2" borderId="41" xfId="0" applyFont="1" applyFill="1" applyBorder="1" applyAlignment="1">
      <alignment wrapText="1"/>
    </xf>
    <xf numFmtId="0" fontId="9" fillId="2" borderId="41" xfId="0" applyFont="1" applyFill="1" applyBorder="1" applyAlignment="1">
      <alignment vertical="top" wrapText="1"/>
    </xf>
    <xf numFmtId="0" fontId="9" fillId="2" borderId="45" xfId="0" applyFont="1" applyFill="1" applyBorder="1" applyAlignment="1">
      <alignment wrapText="1"/>
    </xf>
    <xf numFmtId="0" fontId="19" fillId="2" borderId="45" xfId="0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justify" vertical="center" wrapText="1"/>
    </xf>
    <xf numFmtId="0" fontId="19" fillId="2" borderId="51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52" xfId="0" applyFont="1" applyFill="1" applyBorder="1" applyAlignment="1">
      <alignment vertical="center" wrapText="1"/>
    </xf>
    <xf numFmtId="0" fontId="19" fillId="2" borderId="43" xfId="0" applyFont="1" applyFill="1" applyBorder="1" applyAlignment="1">
      <alignment horizontal="right" vertical="center" wrapText="1"/>
    </xf>
    <xf numFmtId="0" fontId="19" fillId="2" borderId="53" xfId="0" applyFont="1" applyFill="1" applyBorder="1" applyAlignment="1">
      <alignment vertical="center" wrapText="1"/>
    </xf>
    <xf numFmtId="0" fontId="19" fillId="2" borderId="20" xfId="0" applyFont="1" applyFill="1" applyBorder="1" applyAlignment="1">
      <alignment horizontal="right" vertical="center" wrapText="1"/>
    </xf>
    <xf numFmtId="0" fontId="20" fillId="2" borderId="0" xfId="0" applyFont="1" applyFill="1" applyAlignment="1">
      <alignment horizontal="left" vertical="center" indent="1"/>
    </xf>
    <xf numFmtId="3" fontId="9" fillId="2" borderId="0" xfId="0" applyNumberFormat="1" applyFont="1" applyFill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/>
    </xf>
    <xf numFmtId="0" fontId="12" fillId="2" borderId="0" xfId="0" applyFont="1" applyFill="1"/>
    <xf numFmtId="0" fontId="24" fillId="2" borderId="1" xfId="15" applyFont="1" applyFill="1" applyBorder="1" applyAlignment="1">
      <alignment horizontal="left" vertical="center"/>
    </xf>
    <xf numFmtId="0" fontId="24" fillId="2" borderId="0" xfId="15" applyFont="1" applyFill="1"/>
    <xf numFmtId="0" fontId="24" fillId="2" borderId="1" xfId="15" quotePrefix="1" applyFont="1" applyFill="1" applyBorder="1" applyAlignment="1">
      <alignment horizontal="center" vertical="center"/>
    </xf>
    <xf numFmtId="0" fontId="24" fillId="2" borderId="1" xfId="15" applyFont="1" applyFill="1" applyBorder="1" applyAlignment="1">
      <alignment vertical="center"/>
    </xf>
    <xf numFmtId="0" fontId="26" fillId="2" borderId="2" xfId="15" applyFont="1" applyFill="1" applyBorder="1" applyAlignment="1">
      <alignment horizontal="left"/>
    </xf>
    <xf numFmtId="0" fontId="26" fillId="2" borderId="16" xfId="15" applyFont="1" applyFill="1" applyBorder="1" applyAlignment="1">
      <alignment horizontal="left"/>
    </xf>
    <xf numFmtId="0" fontId="26" fillId="2" borderId="1" xfId="15" applyFont="1" applyFill="1" applyBorder="1" applyAlignment="1">
      <alignment horizontal="left"/>
    </xf>
    <xf numFmtId="0" fontId="26" fillId="2" borderId="0" xfId="15" applyFont="1" applyFill="1" applyBorder="1" applyAlignment="1">
      <alignment horizontal="left"/>
    </xf>
    <xf numFmtId="0" fontId="26" fillId="2" borderId="4" xfId="15" applyFont="1" applyFill="1" applyBorder="1" applyAlignment="1">
      <alignment horizontal="left"/>
    </xf>
    <xf numFmtId="0" fontId="24" fillId="2" borderId="0" xfId="15" applyFont="1" applyFill="1" applyAlignment="1"/>
    <xf numFmtId="0" fontId="24" fillId="2" borderId="0" xfId="15" applyFont="1" applyFill="1" applyAlignment="1">
      <alignment vertical="center"/>
    </xf>
    <xf numFmtId="164" fontId="14" fillId="2" borderId="0" xfId="0" applyNumberFormat="1" applyFont="1" applyFill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24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165" fontId="14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164" fontId="7" fillId="2" borderId="0" xfId="0" applyNumberFormat="1" applyFont="1" applyFill="1"/>
    <xf numFmtId="0" fontId="22" fillId="2" borderId="21" xfId="0" applyFont="1" applyFill="1" applyBorder="1" applyAlignment="1">
      <alignment horizontal="left" vertical="center" wrapText="1"/>
    </xf>
    <xf numFmtId="165" fontId="22" fillId="2" borderId="20" xfId="0" applyNumberFormat="1" applyFont="1" applyFill="1" applyBorder="1" applyAlignment="1">
      <alignment horizontal="center" vertical="center"/>
    </xf>
    <xf numFmtId="165" fontId="22" fillId="2" borderId="32" xfId="0" applyNumberFormat="1" applyFont="1" applyFill="1" applyBorder="1" applyAlignment="1">
      <alignment horizontal="center" vertical="center" wrapText="1"/>
    </xf>
    <xf numFmtId="165" fontId="22" fillId="2" borderId="19" xfId="0" applyNumberFormat="1" applyFont="1" applyFill="1" applyBorder="1" applyAlignment="1">
      <alignment horizontal="center" vertical="center" wrapText="1"/>
    </xf>
    <xf numFmtId="165" fontId="22" fillId="2" borderId="21" xfId="0" applyNumberFormat="1" applyFont="1" applyFill="1" applyBorder="1" applyAlignment="1">
      <alignment horizontal="center" vertical="center" wrapText="1"/>
    </xf>
    <xf numFmtId="165" fontId="22" fillId="2" borderId="21" xfId="0" applyNumberFormat="1" applyFont="1" applyFill="1" applyBorder="1" applyAlignment="1">
      <alignment horizontal="center" vertical="center"/>
    </xf>
    <xf numFmtId="0" fontId="29" fillId="2" borderId="21" xfId="0" applyFont="1" applyFill="1" applyBorder="1" applyAlignment="1">
      <alignment horizontal="left" vertical="center" wrapText="1"/>
    </xf>
    <xf numFmtId="165" fontId="29" fillId="2" borderId="20" xfId="0" applyNumberFormat="1" applyFont="1" applyFill="1" applyBorder="1" applyAlignment="1">
      <alignment horizontal="center" vertical="center"/>
    </xf>
    <xf numFmtId="165" fontId="29" fillId="2" borderId="21" xfId="0" applyNumberFormat="1" applyFont="1" applyFill="1" applyBorder="1" applyAlignment="1">
      <alignment horizontal="center" vertical="center" wrapText="1"/>
    </xf>
    <xf numFmtId="165" fontId="29" fillId="2" borderId="19" xfId="0" applyNumberFormat="1" applyFont="1" applyFill="1" applyBorder="1" applyAlignment="1">
      <alignment horizontal="center" vertical="center" wrapText="1"/>
    </xf>
    <xf numFmtId="0" fontId="30" fillId="2" borderId="30" xfId="0" applyFont="1" applyFill="1" applyBorder="1" applyAlignment="1">
      <alignment horizontal="left" vertical="center" wrapText="1"/>
    </xf>
    <xf numFmtId="165" fontId="16" fillId="2" borderId="19" xfId="0" applyNumberFormat="1" applyFont="1" applyFill="1" applyBorder="1" applyAlignment="1">
      <alignment vertical="center"/>
    </xf>
    <xf numFmtId="165" fontId="16" fillId="2" borderId="30" xfId="0" applyNumberFormat="1" applyFont="1" applyFill="1" applyBorder="1" applyAlignment="1">
      <alignment vertical="center"/>
    </xf>
    <xf numFmtId="165" fontId="22" fillId="2" borderId="30" xfId="0" applyNumberFormat="1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left" vertical="center" wrapText="1"/>
    </xf>
    <xf numFmtId="165" fontId="18" fillId="2" borderId="20" xfId="0" applyNumberFormat="1" applyFont="1" applyFill="1" applyBorder="1" applyAlignment="1">
      <alignment horizontal="center" vertical="center"/>
    </xf>
    <xf numFmtId="165" fontId="18" fillId="2" borderId="19" xfId="0" applyNumberFormat="1" applyFont="1" applyFill="1" applyBorder="1" applyAlignment="1">
      <alignment horizontal="center" vertical="center" wrapText="1"/>
    </xf>
    <xf numFmtId="165" fontId="18" fillId="2" borderId="21" xfId="0" applyNumberFormat="1" applyFont="1" applyFill="1" applyBorder="1" applyAlignment="1">
      <alignment horizontal="center" vertical="center" wrapText="1"/>
    </xf>
    <xf numFmtId="0" fontId="31" fillId="2" borderId="0" xfId="14" applyFont="1" applyFill="1" applyAlignment="1">
      <alignment horizontal="justify" vertical="center"/>
    </xf>
    <xf numFmtId="1" fontId="14" fillId="2" borderId="0" xfId="0" applyNumberFormat="1" applyFont="1" applyFill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32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65" fontId="14" fillId="2" borderId="1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/>
    </xf>
    <xf numFmtId="3" fontId="33" fillId="2" borderId="1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3" fontId="12" fillId="2" borderId="0" xfId="0" applyNumberFormat="1" applyFont="1" applyFill="1" applyAlignment="1">
      <alignment horizontal="center" vertical="center"/>
    </xf>
    <xf numFmtId="0" fontId="0" fillId="5" borderId="7" xfId="0" applyFill="1" applyBorder="1"/>
    <xf numFmtId="0" fontId="8" fillId="2" borderId="1" xfId="0" applyFont="1" applyFill="1" applyBorder="1" applyAlignment="1">
      <alignment horizontal="left" vertical="center" wrapText="1"/>
    </xf>
    <xf numFmtId="0" fontId="24" fillId="2" borderId="0" xfId="15" applyFont="1" applyFill="1" applyAlignment="1">
      <alignment horizontal="center"/>
    </xf>
    <xf numFmtId="0" fontId="24" fillId="2" borderId="1" xfId="15" applyFont="1" applyFill="1" applyBorder="1" applyAlignment="1">
      <alignment horizontal="left" vertical="center" wrapText="1"/>
    </xf>
    <xf numFmtId="0" fontId="24" fillId="2" borderId="8" xfId="15" applyFont="1" applyFill="1" applyBorder="1" applyAlignment="1">
      <alignment horizontal="center" vertical="center" wrapText="1"/>
    </xf>
    <xf numFmtId="0" fontId="24" fillId="2" borderId="3" xfId="15" applyFont="1" applyFill="1" applyBorder="1" applyAlignment="1">
      <alignment horizontal="center" vertical="center" wrapText="1"/>
    </xf>
    <xf numFmtId="0" fontId="24" fillId="2" borderId="1" xfId="15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22" fillId="6" borderId="21" xfId="0" applyFont="1" applyFill="1" applyBorder="1" applyAlignment="1">
      <alignment horizontal="center" vertical="center" wrapText="1"/>
    </xf>
    <xf numFmtId="9" fontId="22" fillId="6" borderId="21" xfId="0" applyNumberFormat="1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vertical="center" wrapText="1"/>
    </xf>
    <xf numFmtId="0" fontId="12" fillId="6" borderId="28" xfId="0" applyFont="1" applyFill="1" applyBorder="1" applyAlignment="1">
      <alignment horizontal="left" vertical="center" wrapText="1" indent="1"/>
    </xf>
    <xf numFmtId="0" fontId="12" fillId="6" borderId="0" xfId="0" applyFont="1" applyFill="1" applyBorder="1" applyAlignment="1">
      <alignment horizontal="left" vertical="center" wrapText="1" indent="1"/>
    </xf>
    <xf numFmtId="0" fontId="24" fillId="8" borderId="1" xfId="15" quotePrefix="1" applyFont="1" applyFill="1" applyBorder="1" applyAlignment="1">
      <alignment horizontal="center" vertical="center"/>
    </xf>
    <xf numFmtId="0" fontId="24" fillId="8" borderId="1" xfId="15" applyFont="1" applyFill="1" applyBorder="1" applyAlignment="1">
      <alignment vertical="center"/>
    </xf>
    <xf numFmtId="0" fontId="24" fillId="8" borderId="1" xfId="15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vertical="center" wrapText="1"/>
    </xf>
    <xf numFmtId="0" fontId="12" fillId="6" borderId="28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12" fillId="6" borderId="0" xfId="0" applyFont="1" applyFill="1" applyBorder="1"/>
    <xf numFmtId="0" fontId="12" fillId="6" borderId="22" xfId="0" applyFont="1" applyFill="1" applyBorder="1" applyAlignment="1">
      <alignment vertical="center" wrapText="1"/>
    </xf>
    <xf numFmtId="0" fontId="12" fillId="6" borderId="19" xfId="0" applyFont="1" applyFill="1" applyBorder="1" applyAlignment="1">
      <alignment vertical="center" wrapText="1"/>
    </xf>
    <xf numFmtId="0" fontId="12" fillId="6" borderId="19" xfId="0" applyFont="1" applyFill="1" applyBorder="1"/>
    <xf numFmtId="0" fontId="12" fillId="6" borderId="20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2" fillId="2" borderId="9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vertical="center" wrapText="1"/>
    </xf>
    <xf numFmtId="0" fontId="35" fillId="2" borderId="0" xfId="0" applyFont="1" applyFill="1"/>
    <xf numFmtId="0" fontId="14" fillId="2" borderId="0" xfId="0" applyFont="1" applyFill="1" applyAlignment="1">
      <alignment vertical="center"/>
    </xf>
    <xf numFmtId="0" fontId="36" fillId="2" borderId="0" xfId="0" applyFont="1" applyFill="1"/>
    <xf numFmtId="0" fontId="39" fillId="2" borderId="2" xfId="0" applyFont="1" applyFill="1" applyBorder="1" applyAlignment="1">
      <alignment horizontal="left"/>
    </xf>
    <xf numFmtId="0" fontId="39" fillId="2" borderId="16" xfId="0" applyFont="1" applyFill="1" applyBorder="1" applyAlignment="1">
      <alignment horizontal="left"/>
    </xf>
    <xf numFmtId="0" fontId="39" fillId="2" borderId="1" xfId="0" applyFont="1" applyFill="1" applyBorder="1" applyAlignment="1">
      <alignment horizontal="left"/>
    </xf>
    <xf numFmtId="0" fontId="39" fillId="2" borderId="0" xfId="0" applyFont="1" applyFill="1" applyBorder="1" applyAlignment="1">
      <alignment horizontal="left"/>
    </xf>
    <xf numFmtId="0" fontId="39" fillId="2" borderId="4" xfId="0" applyFont="1" applyFill="1" applyBorder="1" applyAlignment="1">
      <alignment horizontal="left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/>
    <xf numFmtId="0" fontId="24" fillId="2" borderId="0" xfId="15" applyFont="1" applyFill="1" applyBorder="1" applyAlignment="1"/>
    <xf numFmtId="0" fontId="12" fillId="6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/>
    <xf numFmtId="0" fontId="14" fillId="7" borderId="0" xfId="0" applyFont="1" applyFill="1"/>
    <xf numFmtId="0" fontId="8" fillId="2" borderId="1" xfId="0" applyFont="1" applyFill="1" applyBorder="1" applyAlignment="1">
      <alignment horizontal="left" vertical="center" wrapText="1"/>
    </xf>
    <xf numFmtId="0" fontId="24" fillId="2" borderId="8" xfId="15" applyFont="1" applyFill="1" applyBorder="1" applyAlignment="1">
      <alignment horizontal="center" vertical="center" wrapText="1"/>
    </xf>
    <xf numFmtId="164" fontId="14" fillId="2" borderId="0" xfId="0" applyNumberFormat="1" applyFont="1" applyFill="1"/>
    <xf numFmtId="0" fontId="14" fillId="11" borderId="0" xfId="0" applyFont="1" applyFill="1"/>
    <xf numFmtId="1" fontId="14" fillId="6" borderId="0" xfId="0" applyNumberFormat="1" applyFont="1" applyFill="1" applyAlignment="1">
      <alignment horizontal="center" vertical="center"/>
    </xf>
    <xf numFmtId="0" fontId="14" fillId="6" borderId="0" xfId="0" applyFont="1" applyFill="1"/>
    <xf numFmtId="0" fontId="14" fillId="6" borderId="0" xfId="0" applyFont="1" applyFill="1" applyAlignment="1">
      <alignment horizontal="center" vertical="center"/>
    </xf>
    <xf numFmtId="1" fontId="14" fillId="12" borderId="0" xfId="0" applyNumberFormat="1" applyFont="1" applyFill="1" applyAlignment="1">
      <alignment horizontal="center" vertical="center"/>
    </xf>
    <xf numFmtId="0" fontId="14" fillId="12" borderId="0" xfId="0" applyFont="1" applyFill="1" applyAlignment="1">
      <alignment horizontal="center" vertical="center"/>
    </xf>
    <xf numFmtId="2" fontId="14" fillId="2" borderId="0" xfId="0" applyNumberFormat="1" applyFont="1" applyFill="1" applyAlignment="1">
      <alignment horizontal="center" vertical="center"/>
    </xf>
    <xf numFmtId="164" fontId="14" fillId="6" borderId="0" xfId="0" applyNumberFormat="1" applyFont="1" applyFill="1" applyAlignment="1">
      <alignment horizontal="center" vertical="center"/>
    </xf>
    <xf numFmtId="2" fontId="14" fillId="6" borderId="0" xfId="0" applyNumberFormat="1" applyFont="1" applyFill="1" applyAlignment="1">
      <alignment horizontal="center" vertical="center"/>
    </xf>
    <xf numFmtId="4" fontId="14" fillId="2" borderId="0" xfId="0" applyNumberFormat="1" applyFont="1" applyFill="1"/>
    <xf numFmtId="1" fontId="14" fillId="2" borderId="0" xfId="0" applyNumberFormat="1" applyFont="1" applyFill="1"/>
    <xf numFmtId="4" fontId="14" fillId="2" borderId="0" xfId="0" applyNumberFormat="1" applyFont="1" applyFill="1" applyAlignment="1">
      <alignment horizontal="center" vertical="center"/>
    </xf>
    <xf numFmtId="4" fontId="14" fillId="7" borderId="0" xfId="0" applyNumberFormat="1" applyFont="1" applyFill="1" applyAlignment="1">
      <alignment horizontal="center" vertical="center"/>
    </xf>
    <xf numFmtId="3" fontId="14" fillId="7" borderId="0" xfId="0" applyNumberFormat="1" applyFont="1" applyFill="1" applyAlignment="1">
      <alignment horizontal="center" vertical="center"/>
    </xf>
    <xf numFmtId="4" fontId="14" fillId="12" borderId="0" xfId="0" applyNumberFormat="1" applyFont="1" applyFill="1" applyAlignment="1">
      <alignment horizontal="center" vertical="center"/>
    </xf>
    <xf numFmtId="3" fontId="14" fillId="2" borderId="0" xfId="0" applyNumberFormat="1" applyFont="1" applyFill="1" applyAlignment="1">
      <alignment horizontal="center" vertical="center"/>
    </xf>
    <xf numFmtId="1" fontId="14" fillId="11" borderId="0" xfId="0" applyNumberFormat="1" applyFont="1" applyFill="1" applyAlignment="1">
      <alignment horizontal="center" vertical="center"/>
    </xf>
    <xf numFmtId="2" fontId="14" fillId="11" borderId="0" xfId="0" applyNumberFormat="1" applyFont="1" applyFill="1" applyAlignment="1">
      <alignment horizontal="center" vertical="center"/>
    </xf>
    <xf numFmtId="4" fontId="14" fillId="11" borderId="0" xfId="0" applyNumberFormat="1" applyFont="1" applyFill="1" applyAlignment="1">
      <alignment horizontal="center" vertical="center"/>
    </xf>
    <xf numFmtId="3" fontId="14" fillId="11" borderId="0" xfId="0" applyNumberFormat="1" applyFont="1" applyFill="1" applyAlignment="1">
      <alignment horizontal="center" vertical="center"/>
    </xf>
    <xf numFmtId="165" fontId="14" fillId="2" borderId="0" xfId="0" applyNumberFormat="1" applyFont="1" applyFill="1"/>
    <xf numFmtId="3" fontId="14" fillId="2" borderId="0" xfId="0" applyNumberFormat="1" applyFont="1" applyFill="1"/>
    <xf numFmtId="165" fontId="14" fillId="2" borderId="0" xfId="0" applyNumberFormat="1" applyFont="1" applyFill="1" applyAlignment="1">
      <alignment horizontal="center" vertical="center"/>
    </xf>
    <xf numFmtId="0" fontId="12" fillId="2" borderId="1" xfId="15" applyFont="1" applyFill="1" applyBorder="1" applyAlignment="1">
      <alignment horizontal="center" vertical="center" wrapText="1"/>
    </xf>
    <xf numFmtId="0" fontId="12" fillId="2" borderId="3" xfId="15" applyFont="1" applyFill="1" applyBorder="1" applyAlignment="1">
      <alignment horizontal="center" vertical="center" wrapText="1"/>
    </xf>
    <xf numFmtId="4" fontId="12" fillId="2" borderId="3" xfId="15" applyNumberFormat="1" applyFont="1" applyFill="1" applyBorder="1" applyAlignment="1">
      <alignment horizontal="center" vertical="center" wrapText="1"/>
    </xf>
    <xf numFmtId="3" fontId="12" fillId="2" borderId="1" xfId="15" applyNumberFormat="1" applyFont="1" applyFill="1" applyBorder="1" applyAlignment="1">
      <alignment horizontal="center" vertical="center" wrapText="1"/>
    </xf>
    <xf numFmtId="3" fontId="24" fillId="2" borderId="1" xfId="15" applyNumberFormat="1" applyFont="1" applyFill="1" applyBorder="1" applyAlignment="1">
      <alignment vertical="center"/>
    </xf>
    <xf numFmtId="0" fontId="12" fillId="2" borderId="3" xfId="0" applyFont="1" applyFill="1" applyBorder="1" applyAlignment="1">
      <alignment horizontal="left" vertical="center" wrapText="1"/>
    </xf>
    <xf numFmtId="0" fontId="26" fillId="2" borderId="1" xfId="15" applyFont="1" applyFill="1" applyBorder="1" applyAlignment="1">
      <alignment horizontal="left" vertical="center"/>
    </xf>
    <xf numFmtId="0" fontId="26" fillId="2" borderId="0" xfId="15" applyFont="1" applyFill="1" applyAlignment="1">
      <alignment horizontal="left" vertical="center"/>
    </xf>
    <xf numFmtId="0" fontId="26" fillId="2" borderId="4" xfId="15" applyFont="1" applyFill="1" applyBorder="1" applyAlignment="1">
      <alignment horizontal="left" vertical="center"/>
    </xf>
    <xf numFmtId="0" fontId="24" fillId="2" borderId="0" xfId="15" applyFont="1" applyFill="1" applyAlignment="1">
      <alignment horizontal="center" vertical="center"/>
    </xf>
    <xf numFmtId="3" fontId="14" fillId="2" borderId="0" xfId="0" applyNumberFormat="1" applyFont="1" applyFill="1" applyAlignment="1">
      <alignment horizontal="center"/>
    </xf>
    <xf numFmtId="2" fontId="14" fillId="7" borderId="1" xfId="0" applyNumberFormat="1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9" fillId="7" borderId="8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7" borderId="1" xfId="0" quotePrefix="1" applyFont="1" applyFill="1" applyBorder="1" applyAlignment="1">
      <alignment horizontal="center" vertical="center"/>
    </xf>
    <xf numFmtId="4" fontId="9" fillId="7" borderId="1" xfId="0" applyNumberFormat="1" applyFont="1" applyFill="1" applyBorder="1" applyAlignment="1">
      <alignment horizontal="center" vertical="center" wrapText="1"/>
    </xf>
    <xf numFmtId="3" fontId="9" fillId="7" borderId="1" xfId="0" applyNumberFormat="1" applyFont="1" applyFill="1" applyBorder="1" applyAlignment="1">
      <alignment horizontal="center" vertical="center" wrapText="1"/>
    </xf>
    <xf numFmtId="1" fontId="14" fillId="2" borderId="0" xfId="0" applyNumberFormat="1" applyFont="1" applyFill="1" applyBorder="1" applyAlignment="1">
      <alignment horizontal="center" vertical="center"/>
    </xf>
    <xf numFmtId="0" fontId="14" fillId="7" borderId="8" xfId="0" applyFont="1" applyFill="1" applyBorder="1"/>
    <xf numFmtId="0" fontId="14" fillId="7" borderId="3" xfId="0" applyFont="1" applyFill="1" applyBorder="1"/>
    <xf numFmtId="0" fontId="14" fillId="7" borderId="1" xfId="0" applyFont="1" applyFill="1" applyBorder="1"/>
    <xf numFmtId="4" fontId="14" fillId="7" borderId="1" xfId="0" applyNumberFormat="1" applyFont="1" applyFill="1" applyBorder="1" applyAlignment="1">
      <alignment horizontal="center" vertical="center"/>
    </xf>
    <xf numFmtId="3" fontId="14" fillId="7" borderId="1" xfId="0" applyNumberFormat="1" applyFont="1" applyFill="1" applyBorder="1" applyAlignment="1">
      <alignment horizontal="center" vertical="center"/>
    </xf>
    <xf numFmtId="3" fontId="14" fillId="2" borderId="0" xfId="0" applyNumberFormat="1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5" fillId="2" borderId="1" xfId="0" quotePrefix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0" fontId="15" fillId="7" borderId="1" xfId="0" quotePrefix="1" applyFont="1" applyFill="1" applyBorder="1" applyAlignment="1">
      <alignment horizontal="center" vertical="center"/>
    </xf>
    <xf numFmtId="4" fontId="14" fillId="7" borderId="1" xfId="0" applyNumberFormat="1" applyFont="1" applyFill="1" applyBorder="1" applyAlignment="1">
      <alignment horizontal="center" vertical="center" wrapText="1"/>
    </xf>
    <xf numFmtId="3" fontId="14" fillId="7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/>
    <xf numFmtId="3" fontId="14" fillId="2" borderId="8" xfId="0" applyNumberFormat="1" applyFont="1" applyFill="1" applyBorder="1" applyAlignment="1">
      <alignment horizontal="center" vertical="center"/>
    </xf>
    <xf numFmtId="0" fontId="14" fillId="13" borderId="1" xfId="0" applyFont="1" applyFill="1" applyBorder="1"/>
    <xf numFmtId="3" fontId="14" fillId="13" borderId="1" xfId="0" applyNumberFormat="1" applyFont="1" applyFill="1" applyBorder="1" applyAlignment="1">
      <alignment horizontal="center" vertical="center"/>
    </xf>
    <xf numFmtId="164" fontId="14" fillId="13" borderId="1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4" fontId="14" fillId="13" borderId="1" xfId="0" applyNumberFormat="1" applyFont="1" applyFill="1" applyBorder="1" applyAlignment="1">
      <alignment horizontal="center" vertical="center"/>
    </xf>
    <xf numFmtId="3" fontId="14" fillId="6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14" fillId="2" borderId="0" xfId="0" applyFont="1" applyFill="1" applyBorder="1"/>
    <xf numFmtId="164" fontId="14" fillId="2" borderId="0" xfId="0" applyNumberFormat="1" applyFont="1" applyFill="1" applyBorder="1" applyAlignment="1">
      <alignment horizontal="center" vertical="center"/>
    </xf>
    <xf numFmtId="2" fontId="14" fillId="6" borderId="1" xfId="0" applyNumberFormat="1" applyFont="1" applyFill="1" applyBorder="1" applyAlignment="1">
      <alignment horizontal="center" vertical="center"/>
    </xf>
    <xf numFmtId="165" fontId="14" fillId="6" borderId="1" xfId="0" applyNumberFormat="1" applyFont="1" applyFill="1" applyBorder="1" applyAlignment="1">
      <alignment horizontal="center" vertical="center"/>
    </xf>
    <xf numFmtId="164" fontId="14" fillId="6" borderId="1" xfId="0" applyNumberFormat="1" applyFont="1" applyFill="1" applyBorder="1" applyAlignment="1">
      <alignment horizontal="center" vertical="center"/>
    </xf>
    <xf numFmtId="2" fontId="14" fillId="13" borderId="1" xfId="0" applyNumberFormat="1" applyFont="1" applyFill="1" applyBorder="1" applyAlignment="1">
      <alignment horizontal="center" vertical="center"/>
    </xf>
    <xf numFmtId="165" fontId="14" fillId="13" borderId="1" xfId="0" applyNumberFormat="1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left" vertical="center"/>
    </xf>
    <xf numFmtId="165" fontId="14" fillId="2" borderId="1" xfId="0" applyNumberFormat="1" applyFont="1" applyFill="1" applyBorder="1" applyAlignment="1">
      <alignment horizontal="left"/>
    </xf>
    <xf numFmtId="0" fontId="14" fillId="2" borderId="1" xfId="0" applyFont="1" applyFill="1" applyBorder="1" applyAlignment="1">
      <alignment horizontal="center"/>
    </xf>
    <xf numFmtId="164" fontId="14" fillId="2" borderId="1" xfId="0" applyNumberFormat="1" applyFont="1" applyFill="1" applyBorder="1" applyAlignment="1">
      <alignment horizontal="left" vertical="center"/>
    </xf>
    <xf numFmtId="165" fontId="14" fillId="2" borderId="1" xfId="0" applyNumberFormat="1" applyFont="1" applyFill="1" applyBorder="1" applyAlignment="1">
      <alignment horizontal="left" vertical="center"/>
    </xf>
    <xf numFmtId="2" fontId="14" fillId="2" borderId="0" xfId="0" applyNumberFormat="1" applyFont="1" applyFill="1" applyBorder="1" applyAlignment="1">
      <alignment horizontal="left" vertical="center"/>
    </xf>
    <xf numFmtId="3" fontId="14" fillId="7" borderId="17" xfId="0" applyNumberFormat="1" applyFont="1" applyFill="1" applyBorder="1" applyAlignment="1">
      <alignment horizontal="center"/>
    </xf>
    <xf numFmtId="3" fontId="14" fillId="7" borderId="1" xfId="0" applyNumberFormat="1" applyFont="1" applyFill="1" applyBorder="1" applyAlignment="1">
      <alignment horizontal="center"/>
    </xf>
    <xf numFmtId="4" fontId="14" fillId="7" borderId="1" xfId="0" applyNumberFormat="1" applyFont="1" applyFill="1" applyBorder="1" applyAlignment="1">
      <alignment horizontal="center"/>
    </xf>
    <xf numFmtId="0" fontId="15" fillId="9" borderId="1" xfId="0" quotePrefix="1" applyFont="1" applyFill="1" applyBorder="1" applyAlignment="1">
      <alignment horizontal="center" vertical="center"/>
    </xf>
    <xf numFmtId="3" fontId="14" fillId="9" borderId="1" xfId="0" applyNumberFormat="1" applyFont="1" applyFill="1" applyBorder="1" applyAlignment="1">
      <alignment horizontal="center" vertical="center" wrapText="1"/>
    </xf>
    <xf numFmtId="164" fontId="14" fillId="9" borderId="0" xfId="0" applyNumberFormat="1" applyFont="1" applyFill="1" applyAlignment="1">
      <alignment horizontal="center" vertical="center"/>
    </xf>
    <xf numFmtId="0" fontId="14" fillId="9" borderId="1" xfId="0" applyFont="1" applyFill="1" applyBorder="1"/>
    <xf numFmtId="0" fontId="14" fillId="6" borderId="1" xfId="0" applyFont="1" applyFill="1" applyBorder="1"/>
    <xf numFmtId="0" fontId="14" fillId="2" borderId="8" xfId="0" applyFont="1" applyFill="1" applyBorder="1"/>
    <xf numFmtId="4" fontId="14" fillId="9" borderId="3" xfId="0" applyNumberFormat="1" applyFont="1" applyFill="1" applyBorder="1" applyAlignment="1">
      <alignment horizontal="center" vertical="center" wrapText="1"/>
    </xf>
    <xf numFmtId="4" fontId="14" fillId="2" borderId="3" xfId="0" applyNumberFormat="1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/>
    </xf>
    <xf numFmtId="0" fontId="14" fillId="14" borderId="1" xfId="0" applyFont="1" applyFill="1" applyBorder="1"/>
    <xf numFmtId="3" fontId="14" fillId="2" borderId="1" xfId="0" applyNumberFormat="1" applyFont="1" applyFill="1" applyBorder="1" applyAlignment="1">
      <alignment horizontal="center"/>
    </xf>
    <xf numFmtId="164" fontId="14" fillId="14" borderId="0" xfId="0" applyNumberFormat="1" applyFont="1" applyFill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4" fontId="14" fillId="2" borderId="3" xfId="0" applyNumberFormat="1" applyFont="1" applyFill="1" applyBorder="1" applyAlignment="1">
      <alignment horizontal="center"/>
    </xf>
    <xf numFmtId="4" fontId="14" fillId="2" borderId="1" xfId="0" applyNumberFormat="1" applyFont="1" applyFill="1" applyBorder="1" applyAlignment="1">
      <alignment horizontal="center"/>
    </xf>
    <xf numFmtId="0" fontId="14" fillId="13" borderId="8" xfId="0" applyFont="1" applyFill="1" applyBorder="1"/>
    <xf numFmtId="4" fontId="14" fillId="13" borderId="3" xfId="0" applyNumberFormat="1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/>
    </xf>
    <xf numFmtId="166" fontId="14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vertical="center" wrapText="1"/>
    </xf>
    <xf numFmtId="164" fontId="14" fillId="13" borderId="0" xfId="0" applyNumberFormat="1" applyFont="1" applyFill="1" applyAlignment="1">
      <alignment horizontal="center" vertical="center"/>
    </xf>
    <xf numFmtId="3" fontId="14" fillId="14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/>
    <xf numFmtId="165" fontId="7" fillId="7" borderId="1" xfId="0" applyNumberFormat="1" applyFont="1" applyFill="1" applyBorder="1" applyAlignment="1">
      <alignment horizontal="center" vertical="center"/>
    </xf>
    <xf numFmtId="165" fontId="6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left" vertical="center"/>
    </xf>
    <xf numFmtId="1" fontId="14" fillId="13" borderId="1" xfId="0" applyNumberFormat="1" applyFont="1" applyFill="1" applyBorder="1" applyAlignment="1">
      <alignment horizontal="center" vertical="center"/>
    </xf>
    <xf numFmtId="0" fontId="14" fillId="15" borderId="1" xfId="0" applyFont="1" applyFill="1" applyBorder="1" applyAlignment="1">
      <alignment horizontal="center" vertical="center"/>
    </xf>
    <xf numFmtId="4" fontId="14" fillId="15" borderId="1" xfId="0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3" fontId="14" fillId="2" borderId="3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Alignment="1">
      <alignment horizontal="left"/>
    </xf>
    <xf numFmtId="4" fontId="14" fillId="2" borderId="0" xfId="0" applyNumberFormat="1" applyFont="1" applyFill="1" applyAlignment="1">
      <alignment horizontal="left" vertical="center"/>
    </xf>
    <xf numFmtId="2" fontId="14" fillId="2" borderId="0" xfId="0" applyNumberFormat="1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4" fontId="14" fillId="2" borderId="0" xfId="0" applyNumberFormat="1" applyFont="1" applyFill="1" applyAlignment="1">
      <alignment horizontal="left"/>
    </xf>
    <xf numFmtId="164" fontId="14" fillId="2" borderId="0" xfId="0" applyNumberFormat="1" applyFont="1" applyFill="1" applyBorder="1" applyAlignment="1">
      <alignment horizontal="left" vertical="center"/>
    </xf>
    <xf numFmtId="164" fontId="14" fillId="7" borderId="1" xfId="0" applyNumberFormat="1" applyFont="1" applyFill="1" applyBorder="1" applyAlignment="1">
      <alignment horizontal="left" vertical="center"/>
    </xf>
    <xf numFmtId="0" fontId="14" fillId="8" borderId="1" xfId="0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28" fillId="2" borderId="0" xfId="0" applyFont="1" applyFill="1"/>
    <xf numFmtId="0" fontId="13" fillId="2" borderId="0" xfId="0" applyFont="1" applyFill="1"/>
    <xf numFmtId="0" fontId="16" fillId="8" borderId="15" xfId="0" applyFont="1" applyFill="1" applyBorder="1" applyAlignment="1">
      <alignment horizontal="center" vertical="center" wrapText="1"/>
    </xf>
    <xf numFmtId="0" fontId="14" fillId="16" borderId="0" xfId="0" applyFont="1" applyFill="1" applyAlignment="1">
      <alignment horizontal="center" vertical="center"/>
    </xf>
    <xf numFmtId="165" fontId="14" fillId="16" borderId="0" xfId="0" applyNumberFormat="1" applyFont="1" applyFill="1" applyAlignment="1">
      <alignment horizontal="center" vertical="center"/>
    </xf>
    <xf numFmtId="0" fontId="16" fillId="8" borderId="5" xfId="0" applyFont="1" applyFill="1" applyBorder="1" applyAlignment="1">
      <alignment horizontal="center" vertical="center"/>
    </xf>
    <xf numFmtId="0" fontId="16" fillId="8" borderId="33" xfId="0" applyFont="1" applyFill="1" applyBorder="1" applyAlignment="1">
      <alignment horizontal="center" vertical="center"/>
    </xf>
    <xf numFmtId="0" fontId="16" fillId="8" borderId="57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165" fontId="14" fillId="2" borderId="3" xfId="0" applyNumberFormat="1" applyFont="1" applyFill="1" applyBorder="1" applyAlignment="1">
      <alignment horizontal="center" vertical="center"/>
    </xf>
    <xf numFmtId="3" fontId="14" fillId="8" borderId="1" xfId="0" applyNumberFormat="1" applyFont="1" applyFill="1" applyBorder="1" applyAlignment="1">
      <alignment horizontal="center" vertical="center"/>
    </xf>
    <xf numFmtId="165" fontId="14" fillId="8" borderId="3" xfId="0" applyNumberFormat="1" applyFont="1" applyFill="1" applyBorder="1" applyAlignment="1">
      <alignment horizontal="center" vertical="center"/>
    </xf>
    <xf numFmtId="165" fontId="14" fillId="2" borderId="33" xfId="0" applyNumberFormat="1" applyFont="1" applyFill="1" applyBorder="1" applyAlignment="1">
      <alignment horizontal="center" vertical="center"/>
    </xf>
    <xf numFmtId="0" fontId="16" fillId="8" borderId="5" xfId="0" applyFont="1" applyFill="1" applyBorder="1"/>
    <xf numFmtId="0" fontId="16" fillId="8" borderId="15" xfId="0" applyFont="1" applyFill="1" applyBorder="1" applyAlignment="1">
      <alignment horizontal="center" vertical="center"/>
    </xf>
    <xf numFmtId="0" fontId="16" fillId="8" borderId="4" xfId="0" applyFont="1" applyFill="1" applyBorder="1"/>
    <xf numFmtId="0" fontId="14" fillId="2" borderId="5" xfId="0" applyFont="1" applyFill="1" applyBorder="1" applyAlignment="1">
      <alignment horizontal="center" vertical="center"/>
    </xf>
    <xf numFmtId="0" fontId="14" fillId="8" borderId="1" xfId="0" quotePrefix="1" applyFont="1" applyFill="1" applyBorder="1" applyAlignment="1">
      <alignment horizontal="center" vertical="center"/>
    </xf>
    <xf numFmtId="0" fontId="14" fillId="2" borderId="1" xfId="0" quotePrefix="1" applyFont="1" applyFill="1" applyBorder="1" applyAlignment="1">
      <alignment horizontal="center" vertical="center"/>
    </xf>
    <xf numFmtId="3" fontId="14" fillId="2" borderId="33" xfId="0" applyNumberFormat="1" applyFont="1" applyFill="1" applyBorder="1" applyAlignment="1">
      <alignment horizontal="center" vertical="center"/>
    </xf>
    <xf numFmtId="3" fontId="14" fillId="8" borderId="3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5" fillId="8" borderId="1" xfId="0" applyFont="1" applyFill="1" applyBorder="1" applyAlignment="1">
      <alignment vertical="center" wrapText="1"/>
    </xf>
    <xf numFmtId="3" fontId="28" fillId="2" borderId="1" xfId="0" applyNumberFormat="1" applyFont="1" applyFill="1" applyBorder="1" applyAlignment="1">
      <alignment horizontal="center" vertical="center"/>
    </xf>
    <xf numFmtId="3" fontId="28" fillId="2" borderId="5" xfId="0" applyNumberFormat="1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0" fontId="16" fillId="8" borderId="23" xfId="0" applyFont="1" applyFill="1" applyBorder="1" applyAlignment="1">
      <alignment horizontal="center" vertical="center" wrapText="1"/>
    </xf>
    <xf numFmtId="0" fontId="16" fillId="8" borderId="35" xfId="0" applyFont="1" applyFill="1" applyBorder="1" applyAlignment="1">
      <alignment horizontal="center" vertical="center"/>
    </xf>
    <xf numFmtId="3" fontId="14" fillId="8" borderId="8" xfId="0" applyNumberFormat="1" applyFont="1" applyFill="1" applyBorder="1" applyAlignment="1">
      <alignment horizontal="center" vertical="center"/>
    </xf>
    <xf numFmtId="165" fontId="14" fillId="2" borderId="8" xfId="0" applyNumberFormat="1" applyFont="1" applyFill="1" applyBorder="1" applyAlignment="1">
      <alignment horizontal="center" vertical="center"/>
    </xf>
    <xf numFmtId="165" fontId="14" fillId="2" borderId="2" xfId="0" applyNumberFormat="1" applyFont="1" applyFill="1" applyBorder="1" applyAlignment="1">
      <alignment horizontal="center" vertical="center"/>
    </xf>
    <xf numFmtId="3" fontId="16" fillId="8" borderId="57" xfId="0" applyNumberFormat="1" applyFont="1" applyFill="1" applyBorder="1" applyAlignment="1">
      <alignment horizontal="center" vertical="center" wrapText="1"/>
    </xf>
    <xf numFmtId="0" fontId="16" fillId="8" borderId="57" xfId="0" applyFont="1" applyFill="1" applyBorder="1" applyAlignment="1">
      <alignment horizontal="center" vertical="center"/>
    </xf>
    <xf numFmtId="4" fontId="14" fillId="2" borderId="5" xfId="0" applyNumberFormat="1" applyFont="1" applyFill="1" applyBorder="1" applyAlignment="1">
      <alignment horizontal="center" vertical="center"/>
    </xf>
    <xf numFmtId="4" fontId="14" fillId="8" borderId="1" xfId="0" applyNumberFormat="1" applyFont="1" applyFill="1" applyBorder="1" applyAlignment="1">
      <alignment horizontal="center" vertical="center"/>
    </xf>
    <xf numFmtId="0" fontId="18" fillId="8" borderId="15" xfId="0" applyFont="1" applyFill="1" applyBorder="1" applyAlignment="1">
      <alignment horizontal="center" vertical="center" wrapText="1"/>
    </xf>
    <xf numFmtId="165" fontId="14" fillId="2" borderId="5" xfId="0" applyNumberFormat="1" applyFont="1" applyFill="1" applyBorder="1" applyAlignment="1">
      <alignment horizontal="center" vertical="center"/>
    </xf>
    <xf numFmtId="165" fontId="14" fillId="8" borderId="1" xfId="0" applyNumberFormat="1" applyFont="1" applyFill="1" applyBorder="1" applyAlignment="1">
      <alignment horizontal="center" vertical="center"/>
    </xf>
    <xf numFmtId="0" fontId="16" fillId="17" borderId="15" xfId="0" applyFont="1" applyFill="1" applyBorder="1"/>
    <xf numFmtId="0" fontId="16" fillId="17" borderId="15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16" fillId="17" borderId="57" xfId="0" applyFont="1" applyFill="1" applyBorder="1" applyAlignment="1">
      <alignment horizontal="center" vertical="center" wrapText="1"/>
    </xf>
    <xf numFmtId="0" fontId="16" fillId="17" borderId="4" xfId="0" applyFont="1" applyFill="1" applyBorder="1" applyAlignment="1">
      <alignment horizontal="center" vertical="center"/>
    </xf>
    <xf numFmtId="0" fontId="16" fillId="17" borderId="34" xfId="0" applyFont="1" applyFill="1" applyBorder="1" applyAlignment="1">
      <alignment horizontal="center" vertical="center"/>
    </xf>
    <xf numFmtId="0" fontId="16" fillId="17" borderId="5" xfId="0" applyFont="1" applyFill="1" applyBorder="1"/>
    <xf numFmtId="0" fontId="16" fillId="17" borderId="15" xfId="0" applyFont="1" applyFill="1" applyBorder="1" applyAlignment="1">
      <alignment horizontal="center" vertical="center"/>
    </xf>
    <xf numFmtId="0" fontId="16" fillId="17" borderId="4" xfId="0" applyFont="1" applyFill="1" applyBorder="1"/>
    <xf numFmtId="0" fontId="18" fillId="17" borderId="57" xfId="0" applyFont="1" applyFill="1" applyBorder="1" applyAlignment="1">
      <alignment horizontal="center" vertical="center" wrapText="1"/>
    </xf>
    <xf numFmtId="0" fontId="18" fillId="17" borderId="15" xfId="0" applyFont="1" applyFill="1" applyBorder="1" applyAlignment="1">
      <alignment horizontal="center" vertical="center" wrapText="1"/>
    </xf>
    <xf numFmtId="3" fontId="16" fillId="17" borderId="57" xfId="0" applyNumberFormat="1" applyFont="1" applyFill="1" applyBorder="1" applyAlignment="1">
      <alignment horizontal="center" vertical="center" wrapText="1"/>
    </xf>
    <xf numFmtId="0" fontId="16" fillId="17" borderId="57" xfId="0" applyFont="1" applyFill="1" applyBorder="1" applyAlignment="1">
      <alignment horizontal="center" vertical="center"/>
    </xf>
    <xf numFmtId="165" fontId="14" fillId="2" borderId="3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3" fontId="14" fillId="2" borderId="34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vertical="center" wrapText="1"/>
    </xf>
    <xf numFmtId="165" fontId="14" fillId="2" borderId="4" xfId="0" applyNumberFormat="1" applyFont="1" applyFill="1" applyBorder="1" applyAlignment="1">
      <alignment horizontal="center" vertical="center"/>
    </xf>
    <xf numFmtId="0" fontId="14" fillId="2" borderId="4" xfId="0" quotePrefix="1" applyFont="1" applyFill="1" applyBorder="1" applyAlignment="1">
      <alignment horizontal="center" vertical="center"/>
    </xf>
    <xf numFmtId="0" fontId="14" fillId="17" borderId="1" xfId="0" quotePrefix="1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vertical="center" wrapText="1"/>
    </xf>
    <xf numFmtId="3" fontId="14" fillId="17" borderId="1" xfId="0" applyNumberFormat="1" applyFont="1" applyFill="1" applyBorder="1" applyAlignment="1">
      <alignment horizontal="center" vertical="center"/>
    </xf>
    <xf numFmtId="165" fontId="14" fillId="17" borderId="1" xfId="0" applyNumberFormat="1" applyFont="1" applyFill="1" applyBorder="1" applyAlignment="1">
      <alignment horizontal="center" vertical="center"/>
    </xf>
    <xf numFmtId="3" fontId="14" fillId="17" borderId="3" xfId="0" applyNumberFormat="1" applyFont="1" applyFill="1" applyBorder="1" applyAlignment="1">
      <alignment horizontal="center" vertical="center"/>
    </xf>
    <xf numFmtId="165" fontId="14" fillId="17" borderId="3" xfId="0" applyNumberFormat="1" applyFont="1" applyFill="1" applyBorder="1" applyAlignment="1">
      <alignment horizontal="center" vertical="center"/>
    </xf>
    <xf numFmtId="0" fontId="14" fillId="18" borderId="0" xfId="0" applyFont="1" applyFill="1" applyAlignment="1">
      <alignment horizontal="center" vertical="center"/>
    </xf>
    <xf numFmtId="165" fontId="14" fillId="18" borderId="0" xfId="0" applyNumberFormat="1" applyFont="1" applyFill="1" applyAlignment="1">
      <alignment horizontal="center" vertical="center"/>
    </xf>
    <xf numFmtId="3" fontId="16" fillId="17" borderId="15" xfId="0" applyNumberFormat="1" applyFont="1" applyFill="1" applyBorder="1" applyAlignment="1">
      <alignment horizontal="center" vertical="center" wrapText="1"/>
    </xf>
    <xf numFmtId="4" fontId="14" fillId="17" borderId="3" xfId="0" applyNumberFormat="1" applyFont="1" applyFill="1" applyBorder="1" applyAlignment="1">
      <alignment horizontal="center" vertical="center"/>
    </xf>
    <xf numFmtId="0" fontId="14" fillId="17" borderId="5" xfId="0" quotePrefix="1" applyFont="1" applyFill="1" applyBorder="1" applyAlignment="1">
      <alignment horizontal="center" vertical="center"/>
    </xf>
    <xf numFmtId="0" fontId="15" fillId="17" borderId="5" xfId="0" applyFont="1" applyFill="1" applyBorder="1" applyAlignment="1">
      <alignment vertical="center" wrapText="1"/>
    </xf>
    <xf numFmtId="3" fontId="14" fillId="17" borderId="5" xfId="0" applyNumberFormat="1" applyFont="1" applyFill="1" applyBorder="1" applyAlignment="1">
      <alignment horizontal="center" vertical="center"/>
    </xf>
    <xf numFmtId="165" fontId="14" fillId="17" borderId="5" xfId="0" applyNumberFormat="1" applyFont="1" applyFill="1" applyBorder="1" applyAlignment="1">
      <alignment horizontal="center" vertical="center"/>
    </xf>
    <xf numFmtId="4" fontId="14" fillId="17" borderId="5" xfId="0" applyNumberFormat="1" applyFont="1" applyFill="1" applyBorder="1" applyAlignment="1">
      <alignment horizontal="center" vertical="center"/>
    </xf>
    <xf numFmtId="3" fontId="14" fillId="17" borderId="33" xfId="0" applyNumberFormat="1" applyFont="1" applyFill="1" applyBorder="1" applyAlignment="1">
      <alignment horizontal="center" vertical="center"/>
    </xf>
    <xf numFmtId="4" fontId="14" fillId="17" borderId="1" xfId="0" applyNumberFormat="1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vertical="center" wrapText="1"/>
    </xf>
    <xf numFmtId="0" fontId="15" fillId="2" borderId="17" xfId="0" applyFont="1" applyFill="1" applyBorder="1" applyAlignment="1">
      <alignment vertical="center" wrapText="1"/>
    </xf>
    <xf numFmtId="0" fontId="15" fillId="2" borderId="16" xfId="0" applyFont="1" applyFill="1" applyBorder="1" applyAlignment="1">
      <alignment vertical="center" wrapText="1"/>
    </xf>
    <xf numFmtId="0" fontId="16" fillId="17" borderId="2" xfId="0" applyFont="1" applyFill="1" applyBorder="1" applyAlignment="1">
      <alignment horizontal="center" vertical="center"/>
    </xf>
    <xf numFmtId="0" fontId="16" fillId="17" borderId="23" xfId="0" applyFont="1" applyFill="1" applyBorder="1" applyAlignment="1">
      <alignment horizontal="center" vertical="center" wrapText="1"/>
    </xf>
    <xf numFmtId="0" fontId="16" fillId="17" borderId="35" xfId="0" applyFont="1" applyFill="1" applyBorder="1" applyAlignment="1">
      <alignment horizontal="center" vertical="center"/>
    </xf>
    <xf numFmtId="165" fontId="14" fillId="2" borderId="35" xfId="0" applyNumberFormat="1" applyFont="1" applyFill="1" applyBorder="1" applyAlignment="1">
      <alignment horizontal="center" vertical="center"/>
    </xf>
    <xf numFmtId="4" fontId="14" fillId="2" borderId="4" xfId="0" applyNumberFormat="1" applyFont="1" applyFill="1" applyBorder="1" applyAlignment="1">
      <alignment horizontal="center" vertical="center"/>
    </xf>
    <xf numFmtId="0" fontId="15" fillId="17" borderId="17" xfId="0" applyFont="1" applyFill="1" applyBorder="1" applyAlignment="1">
      <alignment vertical="center" wrapText="1"/>
    </xf>
    <xf numFmtId="165" fontId="14" fillId="17" borderId="8" xfId="0" applyNumberFormat="1" applyFont="1" applyFill="1" applyBorder="1" applyAlignment="1">
      <alignment horizontal="center" vertical="center"/>
    </xf>
    <xf numFmtId="3" fontId="14" fillId="2" borderId="2" xfId="0" applyNumberFormat="1" applyFont="1" applyFill="1" applyBorder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32" fillId="17" borderId="5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 wrapText="1"/>
    </xf>
    <xf numFmtId="3" fontId="12" fillId="13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left" vertical="center" wrapText="1"/>
    </xf>
    <xf numFmtId="164" fontId="15" fillId="13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165" fontId="15" fillId="13" borderId="1" xfId="0" applyNumberFormat="1" applyFont="1" applyFill="1" applyBorder="1" applyAlignment="1">
      <alignment horizontal="center" vertical="center" wrapText="1"/>
    </xf>
    <xf numFmtId="0" fontId="32" fillId="17" borderId="1" xfId="0" applyFont="1" applyFill="1" applyBorder="1" applyAlignment="1">
      <alignment horizontal="center" vertical="center" wrapText="1"/>
    </xf>
    <xf numFmtId="3" fontId="14" fillId="17" borderId="1" xfId="0" applyNumberFormat="1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center" vertical="center" wrapText="1"/>
    </xf>
    <xf numFmtId="0" fontId="32" fillId="17" borderId="2" xfId="0" applyFont="1" applyFill="1" applyBorder="1" applyAlignment="1">
      <alignment horizontal="center" vertical="center" wrapText="1"/>
    </xf>
    <xf numFmtId="0" fontId="14" fillId="17" borderId="5" xfId="0" applyFont="1" applyFill="1" applyBorder="1" applyAlignment="1">
      <alignment horizontal="center" vertical="center" wrapText="1"/>
    </xf>
    <xf numFmtId="0" fontId="14" fillId="17" borderId="5" xfId="0" applyFont="1" applyFill="1" applyBorder="1" applyAlignment="1">
      <alignment horizontal="center" vertical="center"/>
    </xf>
    <xf numFmtId="3" fontId="14" fillId="2" borderId="0" xfId="0" applyNumberFormat="1" applyFont="1" applyFill="1" applyAlignment="1">
      <alignment horizontal="left" vertical="center" wrapText="1"/>
    </xf>
    <xf numFmtId="0" fontId="12" fillId="13" borderId="1" xfId="0" applyFont="1" applyFill="1" applyBorder="1" applyAlignment="1">
      <alignment horizontal="center" vertical="center"/>
    </xf>
    <xf numFmtId="165" fontId="8" fillId="13" borderId="1" xfId="0" applyNumberFormat="1" applyFont="1" applyFill="1" applyBorder="1" applyAlignment="1">
      <alignment horizontal="center" vertical="center" wrapText="1"/>
    </xf>
    <xf numFmtId="4" fontId="8" fillId="13" borderId="1" xfId="0" applyNumberFormat="1" applyFont="1" applyFill="1" applyBorder="1" applyAlignment="1">
      <alignment horizontal="center" vertical="center" wrapText="1"/>
    </xf>
    <xf numFmtId="0" fontId="24" fillId="13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left" vertical="center"/>
    </xf>
    <xf numFmtId="0" fontId="14" fillId="13" borderId="1" xfId="0" applyFont="1" applyFill="1" applyBorder="1" applyAlignment="1">
      <alignment horizontal="left"/>
    </xf>
    <xf numFmtId="165" fontId="13" fillId="2" borderId="0" xfId="0" applyNumberFormat="1" applyFont="1" applyFill="1"/>
    <xf numFmtId="164" fontId="14" fillId="2" borderId="1" xfId="0" applyNumberFormat="1" applyFont="1" applyFill="1" applyBorder="1" applyAlignment="1">
      <alignment horizontal="center"/>
    </xf>
    <xf numFmtId="0" fontId="44" fillId="2" borderId="0" xfId="0" applyFont="1" applyFill="1"/>
    <xf numFmtId="0" fontId="15" fillId="2" borderId="1" xfId="0" applyFont="1" applyFill="1" applyBorder="1" applyAlignment="1">
      <alignment horizontal="justify" vertical="center" wrapText="1"/>
    </xf>
    <xf numFmtId="0" fontId="15" fillId="7" borderId="1" xfId="0" applyFont="1" applyFill="1" applyBorder="1" applyAlignment="1">
      <alignment horizontal="justify" vertical="center" wrapText="1"/>
    </xf>
    <xf numFmtId="0" fontId="14" fillId="2" borderId="0" xfId="0" applyFont="1" applyFill="1" applyBorder="1" applyAlignment="1">
      <alignment horizontal="center" vertical="center" wrapText="1"/>
    </xf>
    <xf numFmtId="165" fontId="14" fillId="7" borderId="1" xfId="0" applyNumberFormat="1" applyFont="1" applyFill="1" applyBorder="1" applyAlignment="1">
      <alignment horizontal="center" vertical="center"/>
    </xf>
    <xf numFmtId="165" fontId="13" fillId="2" borderId="0" xfId="0" applyNumberFormat="1" applyFont="1" applyFill="1" applyBorder="1" applyAlignment="1">
      <alignment horizontal="center" vertical="center"/>
    </xf>
    <xf numFmtId="0" fontId="22" fillId="6" borderId="5" xfId="0" applyFont="1" applyFill="1" applyBorder="1" applyAlignment="1">
      <alignment horizontal="center" vertical="center" wrapText="1"/>
    </xf>
    <xf numFmtId="0" fontId="22" fillId="6" borderId="15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left" vertical="center"/>
    </xf>
    <xf numFmtId="165" fontId="34" fillId="2" borderId="1" xfId="0" applyNumberFormat="1" applyFont="1" applyFill="1" applyBorder="1" applyAlignment="1">
      <alignment horizontal="center" vertical="center" wrapText="1"/>
    </xf>
    <xf numFmtId="3" fontId="34" fillId="2" borderId="1" xfId="0" applyNumberFormat="1" applyFont="1" applyFill="1" applyBorder="1" applyAlignment="1">
      <alignment horizontal="left" vertical="center" wrapText="1"/>
    </xf>
    <xf numFmtId="3" fontId="34" fillId="7" borderId="1" xfId="0" applyNumberFormat="1" applyFont="1" applyFill="1" applyBorder="1" applyAlignment="1">
      <alignment horizontal="left" vertical="center" wrapText="1"/>
    </xf>
    <xf numFmtId="165" fontId="34" fillId="7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Border="1"/>
    <xf numFmtId="0" fontId="16" fillId="2" borderId="0" xfId="0" applyFont="1" applyFill="1" applyAlignment="1">
      <alignment horizontal="left" vertical="center"/>
    </xf>
    <xf numFmtId="0" fontId="22" fillId="2" borderId="2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vertical="center" wrapText="1"/>
    </xf>
    <xf numFmtId="0" fontId="16" fillId="2" borderId="23" xfId="0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left" vertical="center" wrapText="1"/>
    </xf>
    <xf numFmtId="3" fontId="16" fillId="2" borderId="1" xfId="0" applyNumberFormat="1" applyFont="1" applyFill="1" applyBorder="1" applyAlignment="1">
      <alignment horizontal="center" vertical="center"/>
    </xf>
    <xf numFmtId="3" fontId="16" fillId="2" borderId="23" xfId="0" applyNumberFormat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vertical="center" wrapText="1"/>
    </xf>
    <xf numFmtId="3" fontId="34" fillId="2" borderId="1" xfId="0" applyNumberFormat="1" applyFont="1" applyFill="1" applyBorder="1" applyAlignment="1">
      <alignment horizontal="center" vertical="center" wrapText="1"/>
    </xf>
    <xf numFmtId="3" fontId="34" fillId="2" borderId="23" xfId="0" applyNumberFormat="1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left" vertical="center" wrapText="1"/>
    </xf>
    <xf numFmtId="3" fontId="34" fillId="7" borderId="1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6" fillId="2" borderId="25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center"/>
    </xf>
    <xf numFmtId="0" fontId="7" fillId="19" borderId="1" xfId="0" applyFont="1" applyFill="1" applyBorder="1" applyAlignment="1">
      <alignment horizontal="center" vertical="center"/>
    </xf>
    <xf numFmtId="165" fontId="7" fillId="19" borderId="1" xfId="0" applyNumberFormat="1" applyFont="1" applyFill="1" applyBorder="1" applyAlignment="1">
      <alignment horizontal="center" vertical="center"/>
    </xf>
    <xf numFmtId="165" fontId="6" fillId="19" borderId="1" xfId="0" applyNumberFormat="1" applyFont="1" applyFill="1" applyBorder="1" applyAlignment="1">
      <alignment horizontal="center" vertical="center"/>
    </xf>
    <xf numFmtId="0" fontId="7" fillId="19" borderId="1" xfId="0" applyFont="1" applyFill="1" applyBorder="1"/>
    <xf numFmtId="0" fontId="6" fillId="19" borderId="1" xfId="0" applyFont="1" applyFill="1" applyBorder="1" applyAlignment="1">
      <alignment horizontal="center" vertical="center"/>
    </xf>
    <xf numFmtId="0" fontId="6" fillId="19" borderId="1" xfId="0" applyFont="1" applyFill="1" applyBorder="1" applyAlignment="1">
      <alignment horizontal="left" vertical="center"/>
    </xf>
    <xf numFmtId="3" fontId="7" fillId="19" borderId="1" xfId="0" applyNumberFormat="1" applyFont="1" applyFill="1" applyBorder="1" applyAlignment="1">
      <alignment horizontal="left" vertical="center"/>
    </xf>
    <xf numFmtId="0" fontId="7" fillId="19" borderId="1" xfId="0" applyFont="1" applyFill="1" applyBorder="1" applyAlignment="1">
      <alignment horizontal="center"/>
    </xf>
    <xf numFmtId="0" fontId="7" fillId="7" borderId="0" xfId="0" applyFont="1" applyFill="1" applyAlignment="1">
      <alignment horizontal="center" vertical="center"/>
    </xf>
    <xf numFmtId="0" fontId="14" fillId="2" borderId="25" xfId="0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center" vertical="center" wrapText="1"/>
    </xf>
    <xf numFmtId="0" fontId="14" fillId="7" borderId="0" xfId="0" applyFont="1" applyFill="1" applyAlignment="1">
      <alignment horizontal="center" vertical="center"/>
    </xf>
    <xf numFmtId="2" fontId="14" fillId="7" borderId="0" xfId="0" applyNumberFormat="1" applyFont="1" applyFill="1" applyAlignment="1">
      <alignment horizontal="center" vertical="center"/>
    </xf>
    <xf numFmtId="0" fontId="14" fillId="2" borderId="25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center" vertical="center" wrapText="1"/>
    </xf>
    <xf numFmtId="0" fontId="32" fillId="6" borderId="5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 wrapText="1"/>
    </xf>
    <xf numFmtId="0" fontId="32" fillId="6" borderId="4" xfId="0" applyFont="1" applyFill="1" applyBorder="1" applyAlignment="1">
      <alignment horizontal="center" vertical="center" wrapText="1"/>
    </xf>
    <xf numFmtId="3" fontId="32" fillId="4" borderId="1" xfId="0" applyNumberFormat="1" applyFont="1" applyFill="1" applyBorder="1" applyAlignment="1">
      <alignment horizontal="center" vertical="center"/>
    </xf>
    <xf numFmtId="3" fontId="32" fillId="0" borderId="1" xfId="0" applyNumberFormat="1" applyFont="1" applyBorder="1" applyAlignment="1">
      <alignment horizontal="center" vertical="center"/>
    </xf>
    <xf numFmtId="0" fontId="20" fillId="6" borderId="24" xfId="0" applyFont="1" applyFill="1" applyBorder="1" applyAlignment="1">
      <alignment horizontal="center" vertical="center" wrapText="1"/>
    </xf>
    <xf numFmtId="0" fontId="20" fillId="6" borderId="14" xfId="0" applyFont="1" applyFill="1" applyBorder="1" applyAlignment="1">
      <alignment horizontal="center" vertical="center" wrapText="1"/>
    </xf>
    <xf numFmtId="0" fontId="20" fillId="2" borderId="60" xfId="0" applyFont="1" applyFill="1" applyBorder="1" applyAlignment="1">
      <alignment horizontal="justify" vertical="center"/>
    </xf>
    <xf numFmtId="0" fontId="20" fillId="2" borderId="58" xfId="0" applyFont="1" applyFill="1" applyBorder="1" applyAlignment="1">
      <alignment horizontal="justify" vertical="center"/>
    </xf>
    <xf numFmtId="0" fontId="20" fillId="2" borderId="59" xfId="0" applyFont="1" applyFill="1" applyBorder="1" applyAlignment="1">
      <alignment horizontal="justify" vertical="center"/>
    </xf>
    <xf numFmtId="165" fontId="28" fillId="6" borderId="10" xfId="0" applyNumberFormat="1" applyFont="1" applyFill="1" applyBorder="1" applyAlignment="1">
      <alignment horizontal="center" vertical="center"/>
    </xf>
    <xf numFmtId="3" fontId="14" fillId="2" borderId="10" xfId="0" applyNumberFormat="1" applyFont="1" applyFill="1" applyBorder="1" applyAlignment="1">
      <alignment horizontal="center" vertical="center"/>
    </xf>
    <xf numFmtId="165" fontId="28" fillId="7" borderId="10" xfId="0" applyNumberFormat="1" applyFont="1" applyFill="1" applyBorder="1" applyAlignment="1">
      <alignment horizontal="center" vertical="center"/>
    </xf>
    <xf numFmtId="164" fontId="28" fillId="2" borderId="32" xfId="0" applyNumberFormat="1" applyFont="1" applyFill="1" applyBorder="1" applyAlignment="1">
      <alignment horizontal="center" vertical="center"/>
    </xf>
    <xf numFmtId="0" fontId="13" fillId="2" borderId="62" xfId="0" quotePrefix="1" applyFont="1" applyFill="1" applyBorder="1" applyAlignment="1">
      <alignment horizontal="center" vertical="center"/>
    </xf>
    <xf numFmtId="165" fontId="28" fillId="2" borderId="14" xfId="0" applyNumberFormat="1" applyFont="1" applyFill="1" applyBorder="1" applyAlignment="1">
      <alignment horizontal="center" vertical="center"/>
    </xf>
    <xf numFmtId="0" fontId="45" fillId="2" borderId="64" xfId="0" quotePrefix="1" applyFont="1" applyFill="1" applyBorder="1" applyAlignment="1">
      <alignment horizontal="center" vertical="center"/>
    </xf>
    <xf numFmtId="4" fontId="32" fillId="2" borderId="14" xfId="0" quotePrefix="1" applyNumberFormat="1" applyFont="1" applyFill="1" applyBorder="1" applyAlignment="1">
      <alignment horizontal="center" vertical="center"/>
    </xf>
    <xf numFmtId="164" fontId="14" fillId="2" borderId="24" xfId="0" applyNumberFormat="1" applyFont="1" applyFill="1" applyBorder="1" applyAlignment="1">
      <alignment horizontal="center" vertical="center"/>
    </xf>
    <xf numFmtId="0" fontId="14" fillId="7" borderId="61" xfId="0" applyFont="1" applyFill="1" applyBorder="1" applyAlignment="1">
      <alignment horizontal="center" vertical="center"/>
    </xf>
    <xf numFmtId="165" fontId="14" fillId="2" borderId="24" xfId="0" applyNumberFormat="1" applyFont="1" applyFill="1" applyBorder="1" applyAlignment="1">
      <alignment horizontal="center" vertical="center"/>
    </xf>
    <xf numFmtId="0" fontId="32" fillId="7" borderId="63" xfId="0" applyFont="1" applyFill="1" applyBorder="1" applyAlignment="1">
      <alignment horizontal="center" vertical="center"/>
    </xf>
    <xf numFmtId="3" fontId="32" fillId="2" borderId="24" xfId="0" applyNumberFormat="1" applyFont="1" applyFill="1" applyBorder="1" applyAlignment="1">
      <alignment horizontal="center" vertical="center"/>
    </xf>
    <xf numFmtId="164" fontId="14" fillId="2" borderId="13" xfId="0" applyNumberFormat="1" applyFont="1" applyFill="1" applyBorder="1" applyAlignment="1">
      <alignment horizontal="center" vertical="center"/>
    </xf>
    <xf numFmtId="0" fontId="14" fillId="7" borderId="17" xfId="0" applyFont="1" applyFill="1" applyBorder="1" applyAlignment="1">
      <alignment horizontal="center" vertical="center"/>
    </xf>
    <xf numFmtId="165" fontId="14" fillId="2" borderId="13" xfId="0" applyNumberFormat="1" applyFont="1" applyFill="1" applyBorder="1" applyAlignment="1">
      <alignment horizontal="center" vertical="center"/>
    </xf>
    <xf numFmtId="0" fontId="32" fillId="7" borderId="18" xfId="0" applyFont="1" applyFill="1" applyBorder="1" applyAlignment="1">
      <alignment horizontal="center" vertical="center"/>
    </xf>
    <xf numFmtId="3" fontId="32" fillId="2" borderId="13" xfId="0" applyNumberFormat="1" applyFont="1" applyFill="1" applyBorder="1" applyAlignment="1">
      <alignment horizontal="center" vertical="center"/>
    </xf>
    <xf numFmtId="164" fontId="14" fillId="2" borderId="14" xfId="0" applyNumberFormat="1" applyFont="1" applyFill="1" applyBorder="1" applyAlignment="1">
      <alignment horizontal="center" vertical="center"/>
    </xf>
    <xf numFmtId="0" fontId="14" fillId="7" borderId="62" xfId="0" applyFont="1" applyFill="1" applyBorder="1" applyAlignment="1">
      <alignment horizontal="center" vertical="center"/>
    </xf>
    <xf numFmtId="165" fontId="14" fillId="2" borderId="14" xfId="0" applyNumberFormat="1" applyFont="1" applyFill="1" applyBorder="1" applyAlignment="1">
      <alignment horizontal="center" vertical="center"/>
    </xf>
    <xf numFmtId="0" fontId="32" fillId="7" borderId="64" xfId="0" applyFont="1" applyFill="1" applyBorder="1" applyAlignment="1">
      <alignment horizontal="center" vertical="center"/>
    </xf>
    <xf numFmtId="3" fontId="32" fillId="2" borderId="14" xfId="0" applyNumberFormat="1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165" fontId="28" fillId="6" borderId="9" xfId="0" applyNumberFormat="1" applyFont="1" applyFill="1" applyBorder="1" applyAlignment="1">
      <alignment horizontal="center" vertical="center"/>
    </xf>
    <xf numFmtId="165" fontId="14" fillId="2" borderId="10" xfId="0" applyNumberFormat="1" applyFont="1" applyFill="1" applyBorder="1" applyAlignment="1">
      <alignment horizontal="center" vertical="center"/>
    </xf>
    <xf numFmtId="165" fontId="28" fillId="7" borderId="9" xfId="0" applyNumberFormat="1" applyFont="1" applyFill="1" applyBorder="1" applyAlignment="1">
      <alignment horizontal="center" vertical="center"/>
    </xf>
    <xf numFmtId="165" fontId="15" fillId="8" borderId="1" xfId="0" applyNumberFormat="1" applyFont="1" applyFill="1" applyBorder="1" applyAlignment="1">
      <alignment horizontal="center" vertical="center" wrapText="1"/>
    </xf>
    <xf numFmtId="0" fontId="20" fillId="8" borderId="15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Alignment="1">
      <alignment horizontal="left"/>
    </xf>
    <xf numFmtId="164" fontId="14" fillId="7" borderId="1" xfId="0" applyNumberFormat="1" applyFont="1" applyFill="1" applyBorder="1" applyAlignment="1">
      <alignment horizontal="center" vertical="center" wrapText="1"/>
    </xf>
    <xf numFmtId="0" fontId="20" fillId="7" borderId="33" xfId="0" applyFont="1" applyFill="1" applyBorder="1" applyAlignment="1">
      <alignment horizontal="center" vertical="center" wrapText="1"/>
    </xf>
    <xf numFmtId="0" fontId="20" fillId="7" borderId="57" xfId="0" applyFont="1" applyFill="1" applyBorder="1" applyAlignment="1">
      <alignment horizontal="center" vertical="center" wrapText="1"/>
    </xf>
    <xf numFmtId="0" fontId="40" fillId="7" borderId="4" xfId="0" applyFont="1" applyFill="1" applyBorder="1" applyAlignment="1">
      <alignment horizontal="center" vertical="center" wrapText="1"/>
    </xf>
    <xf numFmtId="2" fontId="43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20" fillId="7" borderId="59" xfId="0" applyFont="1" applyFill="1" applyBorder="1" applyAlignment="1">
      <alignment horizontal="justify" vertical="center"/>
    </xf>
    <xf numFmtId="0" fontId="20" fillId="7" borderId="60" xfId="0" applyFont="1" applyFill="1" applyBorder="1" applyAlignment="1">
      <alignment horizontal="justify" vertical="center"/>
    </xf>
    <xf numFmtId="0" fontId="0" fillId="2" borderId="0" xfId="0" applyFill="1" applyAlignment="1">
      <alignment horizontal="left" vertical="center"/>
    </xf>
    <xf numFmtId="164" fontId="14" fillId="7" borderId="0" xfId="0" applyNumberFormat="1" applyFont="1" applyFill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left" vertical="center" wrapText="1"/>
    </xf>
    <xf numFmtId="164" fontId="14" fillId="7" borderId="1" xfId="0" applyNumberFormat="1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vertical="center" wrapText="1"/>
    </xf>
    <xf numFmtId="4" fontId="15" fillId="7" borderId="1" xfId="0" applyNumberFormat="1" applyFont="1" applyFill="1" applyBorder="1" applyAlignment="1">
      <alignment horizontal="center" vertical="center" wrapText="1"/>
    </xf>
    <xf numFmtId="2" fontId="14" fillId="8" borderId="1" xfId="0" applyNumberFormat="1" applyFont="1" applyFill="1" applyBorder="1" applyAlignment="1">
      <alignment horizontal="center" vertical="center" wrapText="1"/>
    </xf>
    <xf numFmtId="0" fontId="32" fillId="8" borderId="5" xfId="0" applyFont="1" applyFill="1" applyBorder="1" applyAlignment="1">
      <alignment horizontal="center" vertical="center" wrapText="1"/>
    </xf>
    <xf numFmtId="0" fontId="32" fillId="8" borderId="15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32" fillId="19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2" borderId="8" xfId="0" applyFont="1" applyFill="1" applyBorder="1"/>
    <xf numFmtId="0" fontId="32" fillId="7" borderId="1" xfId="0" applyFont="1" applyFill="1" applyBorder="1" applyAlignment="1">
      <alignment horizontal="center" vertical="center" wrapText="1"/>
    </xf>
    <xf numFmtId="1" fontId="14" fillId="20" borderId="1" xfId="0" applyNumberFormat="1" applyFont="1" applyFill="1" applyBorder="1" applyAlignment="1">
      <alignment horizontal="center" vertical="center"/>
    </xf>
    <xf numFmtId="0" fontId="14" fillId="20" borderId="1" xfId="0" applyFont="1" applyFill="1" applyBorder="1" applyAlignment="1">
      <alignment horizontal="center" vertical="center"/>
    </xf>
    <xf numFmtId="3" fontId="14" fillId="20" borderId="4" xfId="0" applyNumberFormat="1" applyFont="1" applyFill="1" applyBorder="1" applyAlignment="1">
      <alignment horizontal="center" vertical="center"/>
    </xf>
    <xf numFmtId="3" fontId="14" fillId="20" borderId="1" xfId="0" applyNumberFormat="1" applyFont="1" applyFill="1" applyBorder="1" applyAlignment="1">
      <alignment horizontal="center" vertical="center"/>
    </xf>
    <xf numFmtId="164" fontId="14" fillId="2" borderId="2" xfId="0" applyNumberFormat="1" applyFont="1" applyFill="1" applyBorder="1" applyAlignment="1">
      <alignment horizontal="center" vertical="center"/>
    </xf>
    <xf numFmtId="164" fontId="14" fillId="2" borderId="23" xfId="0" applyNumberFormat="1" applyFont="1" applyFill="1" applyBorder="1" applyAlignment="1">
      <alignment horizontal="center" vertical="center"/>
    </xf>
    <xf numFmtId="164" fontId="14" fillId="2" borderId="35" xfId="0" applyNumberFormat="1" applyFont="1" applyFill="1" applyBorder="1" applyAlignment="1">
      <alignment horizontal="center" vertical="center"/>
    </xf>
    <xf numFmtId="167" fontId="14" fillId="14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7" fillId="2" borderId="1" xfId="0" quotePrefix="1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left" vertical="center"/>
    </xf>
    <xf numFmtId="165" fontId="7" fillId="21" borderId="1" xfId="0" applyNumberFormat="1" applyFont="1" applyFill="1" applyBorder="1" applyAlignment="1">
      <alignment horizontal="center" vertical="center"/>
    </xf>
    <xf numFmtId="3" fontId="14" fillId="22" borderId="1" xfId="0" applyNumberFormat="1" applyFont="1" applyFill="1" applyBorder="1" applyAlignment="1">
      <alignment horizontal="center" vertical="center"/>
    </xf>
    <xf numFmtId="0" fontId="14" fillId="22" borderId="1" xfId="0" applyFont="1" applyFill="1" applyBorder="1" applyAlignment="1">
      <alignment horizontal="center" vertical="center"/>
    </xf>
    <xf numFmtId="0" fontId="32" fillId="7" borderId="65" xfId="0" applyFont="1" applyFill="1" applyBorder="1" applyAlignment="1">
      <alignment horizontal="center" vertical="center" wrapText="1"/>
    </xf>
    <xf numFmtId="0" fontId="32" fillId="7" borderId="66" xfId="0" applyFont="1" applyFill="1" applyBorder="1" applyAlignment="1">
      <alignment horizontal="center" vertical="center" wrapText="1"/>
    </xf>
    <xf numFmtId="165" fontId="32" fillId="2" borderId="67" xfId="0" applyNumberFormat="1" applyFont="1" applyFill="1" applyBorder="1" applyAlignment="1">
      <alignment horizontal="center" vertical="center" wrapText="1"/>
    </xf>
    <xf numFmtId="165" fontId="32" fillId="2" borderId="68" xfId="0" applyNumberFormat="1" applyFont="1" applyFill="1" applyBorder="1" applyAlignment="1">
      <alignment horizontal="center" vertical="center" wrapText="1"/>
    </xf>
    <xf numFmtId="165" fontId="32" fillId="7" borderId="67" xfId="0" applyNumberFormat="1" applyFont="1" applyFill="1" applyBorder="1" applyAlignment="1">
      <alignment horizontal="center" vertical="center" wrapText="1"/>
    </xf>
    <xf numFmtId="165" fontId="32" fillId="7" borderId="68" xfId="0" applyNumberFormat="1" applyFont="1" applyFill="1" applyBorder="1" applyAlignment="1">
      <alignment horizontal="center" vertical="center" wrapText="1"/>
    </xf>
    <xf numFmtId="165" fontId="32" fillId="2" borderId="69" xfId="0" applyNumberFormat="1" applyFont="1" applyFill="1" applyBorder="1" applyAlignment="1">
      <alignment horizontal="center" vertical="center" wrapText="1"/>
    </xf>
    <xf numFmtId="165" fontId="32" fillId="2" borderId="70" xfId="0" applyNumberFormat="1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165" fontId="43" fillId="2" borderId="13" xfId="0" applyNumberFormat="1" applyFont="1" applyFill="1" applyBorder="1" applyAlignment="1">
      <alignment horizontal="center" vertical="center"/>
    </xf>
    <xf numFmtId="165" fontId="14" fillId="7" borderId="13" xfId="0" applyNumberFormat="1" applyFont="1" applyFill="1" applyBorder="1" applyAlignment="1">
      <alignment horizontal="center" vertical="center"/>
    </xf>
    <xf numFmtId="0" fontId="32" fillId="7" borderId="9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horizontal="justify" vertical="center" wrapText="1"/>
    </xf>
    <xf numFmtId="0" fontId="15" fillId="7" borderId="13" xfId="0" applyFont="1" applyFill="1" applyBorder="1" applyAlignment="1">
      <alignment horizontal="justify" vertical="center" wrapText="1"/>
    </xf>
    <xf numFmtId="0" fontId="15" fillId="2" borderId="14" xfId="0" applyFont="1" applyFill="1" applyBorder="1" applyAlignment="1">
      <alignment horizontal="justify" vertical="center" wrapText="1"/>
    </xf>
    <xf numFmtId="0" fontId="15" fillId="2" borderId="71" xfId="0" applyFont="1" applyFill="1" applyBorder="1" applyAlignment="1">
      <alignment vertical="center" wrapText="1"/>
    </xf>
    <xf numFmtId="165" fontId="32" fillId="2" borderId="72" xfId="0" applyNumberFormat="1" applyFont="1" applyFill="1" applyBorder="1" applyAlignment="1">
      <alignment horizontal="center" vertical="center" wrapText="1"/>
    </xf>
    <xf numFmtId="165" fontId="32" fillId="2" borderId="73" xfId="0" applyNumberFormat="1" applyFont="1" applyFill="1" applyBorder="1" applyAlignment="1">
      <alignment horizontal="center" vertical="center" wrapText="1"/>
    </xf>
    <xf numFmtId="165" fontId="14" fillId="2" borderId="71" xfId="0" applyNumberFormat="1" applyFont="1" applyFill="1" applyBorder="1" applyAlignment="1">
      <alignment horizontal="center" vertical="center"/>
    </xf>
    <xf numFmtId="0" fontId="32" fillId="7" borderId="21" xfId="0" applyFont="1" applyFill="1" applyBorder="1" applyAlignment="1">
      <alignment horizontal="center" vertical="center" wrapText="1"/>
    </xf>
    <xf numFmtId="0" fontId="32" fillId="6" borderId="69" xfId="0" applyFont="1" applyFill="1" applyBorder="1" applyAlignment="1">
      <alignment horizontal="center" vertical="center" wrapText="1"/>
    </xf>
    <xf numFmtId="0" fontId="32" fillId="6" borderId="70" xfId="0" applyFont="1" applyFill="1" applyBorder="1" applyAlignment="1">
      <alignment horizontal="center" vertical="center" wrapText="1"/>
    </xf>
    <xf numFmtId="0" fontId="14" fillId="7" borderId="21" xfId="0" applyFont="1" applyFill="1" applyBorder="1" applyAlignment="1">
      <alignment horizontal="center" vertical="center"/>
    </xf>
    <xf numFmtId="165" fontId="43" fillId="2" borderId="71" xfId="0" applyNumberFormat="1" applyFont="1" applyFill="1" applyBorder="1" applyAlignment="1">
      <alignment horizontal="center" vertical="center"/>
    </xf>
    <xf numFmtId="0" fontId="14" fillId="2" borderId="5" xfId="0" applyFont="1" applyFill="1" applyBorder="1"/>
    <xf numFmtId="0" fontId="32" fillId="2" borderId="5" xfId="0" applyFont="1" applyFill="1" applyBorder="1" applyAlignment="1">
      <alignment horizontal="center" vertical="center" wrapText="1"/>
    </xf>
    <xf numFmtId="2" fontId="32" fillId="2" borderId="5" xfId="0" applyNumberFormat="1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2" fontId="43" fillId="7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32" fillId="17" borderId="15" xfId="0" applyFont="1" applyFill="1" applyBorder="1" applyAlignment="1">
      <alignment horizontal="center" vertical="center" wrapText="1"/>
    </xf>
    <xf numFmtId="0" fontId="14" fillId="17" borderId="4" xfId="0" applyFont="1" applyFill="1" applyBorder="1" applyAlignment="1">
      <alignment vertical="center" wrapText="1"/>
    </xf>
    <xf numFmtId="0" fontId="32" fillId="17" borderId="4" xfId="0" applyFont="1" applyFill="1" applyBorder="1" applyAlignment="1">
      <alignment horizontal="center" vertical="center" wrapText="1"/>
    </xf>
    <xf numFmtId="0" fontId="14" fillId="17" borderId="4" xfId="0" applyFont="1" applyFill="1" applyBorder="1" applyAlignment="1">
      <alignment horizontal="center" vertical="center" wrapText="1"/>
    </xf>
    <xf numFmtId="0" fontId="20" fillId="8" borderId="74" xfId="0" applyFont="1" applyFill="1" applyBorder="1" applyAlignment="1">
      <alignment horizontal="center" vertical="center" wrapText="1"/>
    </xf>
    <xf numFmtId="0" fontId="20" fillId="8" borderId="80" xfId="0" applyFont="1" applyFill="1" applyBorder="1" applyAlignment="1">
      <alignment horizontal="center" vertical="center" wrapText="1"/>
    </xf>
    <xf numFmtId="0" fontId="20" fillId="8" borderId="76" xfId="0" applyFont="1" applyFill="1" applyBorder="1" applyAlignment="1">
      <alignment horizontal="center" vertical="center" wrapText="1"/>
    </xf>
    <xf numFmtId="0" fontId="20" fillId="8" borderId="81" xfId="0" applyFont="1" applyFill="1" applyBorder="1" applyAlignment="1">
      <alignment horizontal="center" vertical="center" wrapText="1"/>
    </xf>
    <xf numFmtId="0" fontId="20" fillId="8" borderId="82" xfId="0" applyFont="1" applyFill="1" applyBorder="1" applyAlignment="1">
      <alignment horizontal="center" vertical="center" wrapText="1"/>
    </xf>
    <xf numFmtId="0" fontId="12" fillId="8" borderId="77" xfId="0" applyFont="1" applyFill="1" applyBorder="1" applyAlignment="1">
      <alignment vertical="center" wrapText="1"/>
    </xf>
    <xf numFmtId="0" fontId="12" fillId="8" borderId="83" xfId="0" applyFont="1" applyFill="1" applyBorder="1" applyAlignment="1">
      <alignment horizontal="center" vertical="center" wrapText="1"/>
    </xf>
    <xf numFmtId="0" fontId="12" fillId="8" borderId="79" xfId="0" applyFont="1" applyFill="1" applyBorder="1" applyAlignment="1">
      <alignment horizontal="center" vertical="center" wrapText="1"/>
    </xf>
    <xf numFmtId="0" fontId="15" fillId="2" borderId="65" xfId="0" applyFont="1" applyFill="1" applyBorder="1" applyAlignment="1">
      <alignment vertical="center" wrapText="1"/>
    </xf>
    <xf numFmtId="165" fontId="15" fillId="2" borderId="75" xfId="0" applyNumberFormat="1" applyFont="1" applyFill="1" applyBorder="1" applyAlignment="1">
      <alignment horizontal="center" vertical="center" wrapText="1"/>
    </xf>
    <xf numFmtId="3" fontId="15" fillId="2" borderId="66" xfId="0" applyNumberFormat="1" applyFont="1" applyFill="1" applyBorder="1" applyAlignment="1">
      <alignment horizontal="center" vertical="center" wrapText="1"/>
    </xf>
    <xf numFmtId="0" fontId="15" fillId="2" borderId="67" xfId="0" applyFont="1" applyFill="1" applyBorder="1" applyAlignment="1">
      <alignment vertical="center" wrapText="1"/>
    </xf>
    <xf numFmtId="3" fontId="15" fillId="2" borderId="68" xfId="0" applyNumberFormat="1" applyFont="1" applyFill="1" applyBorder="1" applyAlignment="1">
      <alignment horizontal="center" vertical="center" wrapText="1"/>
    </xf>
    <xf numFmtId="0" fontId="15" fillId="8" borderId="67" xfId="0" applyFont="1" applyFill="1" applyBorder="1" applyAlignment="1">
      <alignment vertical="center" wrapText="1"/>
    </xf>
    <xf numFmtId="3" fontId="15" fillId="8" borderId="68" xfId="0" applyNumberFormat="1" applyFont="1" applyFill="1" applyBorder="1" applyAlignment="1">
      <alignment horizontal="center" vertical="center" wrapText="1"/>
    </xf>
    <xf numFmtId="0" fontId="15" fillId="2" borderId="69" xfId="0" applyFont="1" applyFill="1" applyBorder="1" applyAlignment="1">
      <alignment vertical="center" wrapText="1"/>
    </xf>
    <xf numFmtId="165" fontId="15" fillId="2" borderId="78" xfId="0" applyNumberFormat="1" applyFont="1" applyFill="1" applyBorder="1" applyAlignment="1">
      <alignment horizontal="center" vertical="center" wrapText="1"/>
    </xf>
    <xf numFmtId="3" fontId="15" fillId="2" borderId="70" xfId="0" applyNumberFormat="1" applyFont="1" applyFill="1" applyBorder="1" applyAlignment="1">
      <alignment horizontal="center" vertical="center" wrapText="1"/>
    </xf>
    <xf numFmtId="0" fontId="12" fillId="8" borderId="77" xfId="0" applyFont="1" applyFill="1" applyBorder="1" applyAlignment="1">
      <alignment horizontal="center" vertical="center" wrapText="1"/>
    </xf>
    <xf numFmtId="3" fontId="14" fillId="2" borderId="65" xfId="0" applyNumberFormat="1" applyFont="1" applyFill="1" applyBorder="1" applyAlignment="1">
      <alignment horizontal="left" vertical="center"/>
    </xf>
    <xf numFmtId="165" fontId="15" fillId="2" borderId="66" xfId="0" applyNumberFormat="1" applyFont="1" applyFill="1" applyBorder="1" applyAlignment="1">
      <alignment horizontal="center" vertical="center" wrapText="1"/>
    </xf>
    <xf numFmtId="3" fontId="15" fillId="2" borderId="67" xfId="0" applyNumberFormat="1" applyFont="1" applyFill="1" applyBorder="1" applyAlignment="1">
      <alignment horizontal="left" vertical="center" wrapText="1"/>
    </xf>
    <xf numFmtId="165" fontId="15" fillId="2" borderId="68" xfId="0" applyNumberFormat="1" applyFont="1" applyFill="1" applyBorder="1" applyAlignment="1">
      <alignment horizontal="center" vertical="center" wrapText="1"/>
    </xf>
    <xf numFmtId="3" fontId="15" fillId="8" borderId="67" xfId="0" applyNumberFormat="1" applyFont="1" applyFill="1" applyBorder="1" applyAlignment="1">
      <alignment horizontal="left" vertical="center" wrapText="1"/>
    </xf>
    <xf numFmtId="165" fontId="15" fillId="8" borderId="68" xfId="0" applyNumberFormat="1" applyFont="1" applyFill="1" applyBorder="1" applyAlignment="1">
      <alignment horizontal="center" vertical="center" wrapText="1"/>
    </xf>
    <xf numFmtId="3" fontId="15" fillId="2" borderId="69" xfId="0" applyNumberFormat="1" applyFont="1" applyFill="1" applyBorder="1" applyAlignment="1">
      <alignment horizontal="left" vertical="center" wrapText="1"/>
    </xf>
    <xf numFmtId="165" fontId="15" fillId="2" borderId="70" xfId="0" applyNumberFormat="1" applyFont="1" applyFill="1" applyBorder="1" applyAlignment="1">
      <alignment horizontal="center" vertical="center" wrapText="1"/>
    </xf>
    <xf numFmtId="0" fontId="32" fillId="6" borderId="74" xfId="0" applyFont="1" applyFill="1" applyBorder="1" applyAlignment="1">
      <alignment horizontal="center" vertical="center" wrapText="1"/>
    </xf>
    <xf numFmtId="0" fontId="32" fillId="6" borderId="81" xfId="0" applyFont="1" applyFill="1" applyBorder="1" applyAlignment="1">
      <alignment horizontal="center" vertical="center" wrapText="1"/>
    </xf>
    <xf numFmtId="0" fontId="45" fillId="6" borderId="82" xfId="0" applyFont="1" applyFill="1" applyBorder="1" applyAlignment="1">
      <alignment horizontal="center" vertical="center" wrapText="1"/>
    </xf>
    <xf numFmtId="0" fontId="14" fillId="6" borderId="81" xfId="0" applyFont="1" applyFill="1" applyBorder="1" applyAlignment="1">
      <alignment vertical="center" wrapText="1"/>
    </xf>
    <xf numFmtId="0" fontId="32" fillId="6" borderId="11" xfId="0" applyFont="1" applyFill="1" applyBorder="1" applyAlignment="1">
      <alignment horizontal="center" vertical="center" wrapText="1"/>
    </xf>
    <xf numFmtId="0" fontId="32" fillId="6" borderId="12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vertical="center" wrapText="1"/>
    </xf>
    <xf numFmtId="0" fontId="14" fillId="6" borderId="72" xfId="0" applyFont="1" applyFill="1" applyBorder="1" applyAlignment="1">
      <alignment vertical="center" wrapText="1"/>
    </xf>
    <xf numFmtId="0" fontId="14" fillId="6" borderId="84" xfId="0" applyFont="1" applyFill="1" applyBorder="1" applyAlignment="1">
      <alignment vertical="center" wrapText="1"/>
    </xf>
    <xf numFmtId="0" fontId="32" fillId="8" borderId="69" xfId="0" applyFont="1" applyFill="1" applyBorder="1" applyAlignment="1">
      <alignment horizontal="center" vertical="center" wrapText="1"/>
    </xf>
    <xf numFmtId="0" fontId="32" fillId="8" borderId="64" xfId="0" applyFont="1" applyFill="1" applyBorder="1" applyAlignment="1">
      <alignment horizontal="center" vertical="center" wrapText="1"/>
    </xf>
    <xf numFmtId="165" fontId="32" fillId="0" borderId="72" xfId="0" applyNumberFormat="1" applyFont="1" applyBorder="1" applyAlignment="1">
      <alignment horizontal="center" vertical="center" wrapText="1"/>
    </xf>
    <xf numFmtId="165" fontId="32" fillId="0" borderId="84" xfId="0" applyNumberFormat="1" applyFont="1" applyBorder="1" applyAlignment="1">
      <alignment horizontal="center" vertical="center" wrapText="1"/>
    </xf>
    <xf numFmtId="165" fontId="32" fillId="0" borderId="67" xfId="0" applyNumberFormat="1" applyFont="1" applyBorder="1" applyAlignment="1">
      <alignment horizontal="center" vertical="center" wrapText="1"/>
    </xf>
    <xf numFmtId="165" fontId="32" fillId="0" borderId="18" xfId="0" applyNumberFormat="1" applyFont="1" applyBorder="1" applyAlignment="1">
      <alignment horizontal="center" vertical="center" wrapText="1"/>
    </xf>
    <xf numFmtId="165" fontId="32" fillId="8" borderId="67" xfId="0" applyNumberFormat="1" applyFont="1" applyFill="1" applyBorder="1" applyAlignment="1">
      <alignment horizontal="center" vertical="center" wrapText="1"/>
    </xf>
    <xf numFmtId="165" fontId="32" fillId="8" borderId="18" xfId="0" applyNumberFormat="1" applyFont="1" applyFill="1" applyBorder="1" applyAlignment="1">
      <alignment horizontal="center" vertical="center" wrapText="1"/>
    </xf>
    <xf numFmtId="165" fontId="32" fillId="2" borderId="64" xfId="0" applyNumberFormat="1" applyFont="1" applyFill="1" applyBorder="1" applyAlignment="1">
      <alignment horizontal="center" vertical="center" wrapText="1"/>
    </xf>
    <xf numFmtId="0" fontId="45" fillId="6" borderId="11" xfId="0" applyFont="1" applyFill="1" applyBorder="1" applyAlignment="1">
      <alignment horizontal="center" vertical="center" wrapText="1"/>
    </xf>
    <xf numFmtId="0" fontId="45" fillId="6" borderId="12" xfId="0" applyFont="1" applyFill="1" applyBorder="1" applyAlignment="1">
      <alignment horizontal="center" vertical="center" wrapText="1"/>
    </xf>
    <xf numFmtId="0" fontId="32" fillId="6" borderId="20" xfId="0" applyFont="1" applyFill="1" applyBorder="1" applyAlignment="1">
      <alignment horizontal="center" vertical="center" wrapText="1"/>
    </xf>
    <xf numFmtId="49" fontId="45" fillId="6" borderId="26" xfId="0" applyNumberFormat="1" applyFont="1" applyFill="1" applyBorder="1" applyAlignment="1">
      <alignment horizontal="center" vertical="center" wrapText="1"/>
    </xf>
    <xf numFmtId="49" fontId="45" fillId="6" borderId="76" xfId="0" applyNumberFormat="1" applyFont="1" applyFill="1" applyBorder="1" applyAlignment="1">
      <alignment horizontal="center" vertical="center" wrapText="1"/>
    </xf>
    <xf numFmtId="0" fontId="45" fillId="6" borderId="28" xfId="0" applyFont="1" applyFill="1" applyBorder="1" applyAlignment="1">
      <alignment horizontal="center" vertical="center" wrapText="1"/>
    </xf>
    <xf numFmtId="49" fontId="32" fillId="6" borderId="28" xfId="0" applyNumberFormat="1" applyFont="1" applyFill="1" applyBorder="1" applyAlignment="1">
      <alignment horizontal="center" vertical="center" wrapText="1"/>
    </xf>
    <xf numFmtId="49" fontId="32" fillId="6" borderId="82" xfId="0" applyNumberFormat="1" applyFont="1" applyFill="1" applyBorder="1" applyAlignment="1">
      <alignment horizontal="center" vertical="center" wrapText="1"/>
    </xf>
    <xf numFmtId="49" fontId="32" fillId="6" borderId="85" xfId="0" applyNumberFormat="1" applyFont="1" applyFill="1" applyBorder="1" applyAlignment="1">
      <alignment horizontal="center" vertical="center" wrapText="1"/>
    </xf>
    <xf numFmtId="49" fontId="32" fillId="6" borderId="73" xfId="0" applyNumberFormat="1" applyFont="1" applyFill="1" applyBorder="1" applyAlignment="1">
      <alignment horizontal="center" vertical="center" wrapText="1"/>
    </xf>
    <xf numFmtId="0" fontId="32" fillId="8" borderId="70" xfId="0" applyFont="1" applyFill="1" applyBorder="1" applyAlignment="1">
      <alignment horizontal="center" vertical="center" wrapText="1"/>
    </xf>
    <xf numFmtId="165" fontId="32" fillId="0" borderId="73" xfId="0" applyNumberFormat="1" applyFont="1" applyBorder="1" applyAlignment="1">
      <alignment horizontal="center" vertical="center" wrapText="1"/>
    </xf>
    <xf numFmtId="165" fontId="32" fillId="0" borderId="68" xfId="0" applyNumberFormat="1" applyFont="1" applyBorder="1" applyAlignment="1">
      <alignment horizontal="center" vertical="center" wrapText="1"/>
    </xf>
    <xf numFmtId="165" fontId="32" fillId="8" borderId="68" xfId="0" applyNumberFormat="1" applyFont="1" applyFill="1" applyBorder="1" applyAlignment="1">
      <alignment horizontal="center" vertical="center" wrapText="1"/>
    </xf>
    <xf numFmtId="0" fontId="32" fillId="6" borderId="9" xfId="0" applyFont="1" applyFill="1" applyBorder="1" applyAlignment="1">
      <alignment horizontal="center" vertical="center" wrapText="1"/>
    </xf>
    <xf numFmtId="0" fontId="32" fillId="6" borderId="10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vertical="center" wrapText="1"/>
    </xf>
    <xf numFmtId="0" fontId="14" fillId="6" borderId="21" xfId="0" applyFont="1" applyFill="1" applyBorder="1" applyAlignment="1">
      <alignment vertical="center" wrapText="1"/>
    </xf>
    <xf numFmtId="0" fontId="15" fillId="0" borderId="71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2" borderId="86" xfId="0" applyFont="1" applyFill="1" applyBorder="1" applyAlignment="1">
      <alignment vertical="center" wrapText="1"/>
    </xf>
    <xf numFmtId="0" fontId="32" fillId="8" borderId="1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45" fillId="6" borderId="9" xfId="0" applyFont="1" applyFill="1" applyBorder="1" applyAlignment="1">
      <alignment horizontal="center" vertical="center" wrapText="1"/>
    </xf>
    <xf numFmtId="0" fontId="45" fillId="6" borderId="10" xfId="0" applyFont="1" applyFill="1" applyBorder="1" applyAlignment="1">
      <alignment horizontal="center" vertical="center" wrapText="1"/>
    </xf>
    <xf numFmtId="0" fontId="32" fillId="6" borderId="21" xfId="0" applyFont="1" applyFill="1" applyBorder="1" applyAlignment="1">
      <alignment horizontal="center" vertical="center" wrapText="1"/>
    </xf>
    <xf numFmtId="165" fontId="14" fillId="4" borderId="71" xfId="0" applyNumberFormat="1" applyFont="1" applyFill="1" applyBorder="1" applyAlignment="1">
      <alignment horizontal="center" vertical="center" wrapText="1"/>
    </xf>
    <xf numFmtId="165" fontId="14" fillId="4" borderId="13" xfId="0" applyNumberFormat="1" applyFont="1" applyFill="1" applyBorder="1" applyAlignment="1">
      <alignment horizontal="center" vertical="center" wrapText="1"/>
    </xf>
    <xf numFmtId="165" fontId="43" fillId="4" borderId="13" xfId="0" applyNumberFormat="1" applyFont="1" applyFill="1" applyBorder="1" applyAlignment="1">
      <alignment horizontal="center" vertical="center" wrapText="1"/>
    </xf>
    <xf numFmtId="165" fontId="14" fillId="0" borderId="13" xfId="0" applyNumberFormat="1" applyFont="1" applyBorder="1" applyAlignment="1">
      <alignment horizontal="center" vertical="center" wrapText="1"/>
    </xf>
    <xf numFmtId="165" fontId="32" fillId="8" borderId="13" xfId="0" applyNumberFormat="1" applyFont="1" applyFill="1" applyBorder="1" applyAlignment="1">
      <alignment horizontal="center" vertical="center" wrapText="1"/>
    </xf>
    <xf numFmtId="165" fontId="32" fillId="2" borderId="14" xfId="0" applyNumberFormat="1" applyFont="1" applyFill="1" applyBorder="1" applyAlignment="1">
      <alignment horizontal="center" vertical="center" wrapText="1"/>
    </xf>
    <xf numFmtId="165" fontId="43" fillId="0" borderId="13" xfId="0" applyNumberFormat="1" applyFont="1" applyBorder="1" applyAlignment="1">
      <alignment horizontal="center" vertical="center" wrapText="1"/>
    </xf>
    <xf numFmtId="165" fontId="43" fillId="4" borderId="71" xfId="0" applyNumberFormat="1" applyFont="1" applyFill="1" applyBorder="1" applyAlignment="1">
      <alignment horizontal="center" vertical="center" wrapText="1"/>
    </xf>
    <xf numFmtId="165" fontId="14" fillId="4" borderId="18" xfId="0" applyNumberFormat="1" applyFont="1" applyFill="1" applyBorder="1" applyAlignment="1">
      <alignment horizontal="center" vertical="center" wrapText="1"/>
    </xf>
    <xf numFmtId="165" fontId="43" fillId="4" borderId="18" xfId="0" applyNumberFormat="1" applyFont="1" applyFill="1" applyBorder="1" applyAlignment="1">
      <alignment horizontal="center" vertical="center" wrapText="1"/>
    </xf>
    <xf numFmtId="165" fontId="14" fillId="0" borderId="18" xfId="0" applyNumberFormat="1" applyFont="1" applyBorder="1" applyAlignment="1">
      <alignment horizontal="center" vertical="center" wrapText="1"/>
    </xf>
    <xf numFmtId="165" fontId="14" fillId="4" borderId="84" xfId="0" applyNumberFormat="1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3" fontId="14" fillId="21" borderId="1" xfId="0" applyNumberFormat="1" applyFont="1" applyFill="1" applyBorder="1" applyAlignment="1">
      <alignment horizontal="center" vertical="center"/>
    </xf>
    <xf numFmtId="3" fontId="13" fillId="22" borderId="1" xfId="0" applyNumberFormat="1" applyFont="1" applyFill="1" applyBorder="1" applyAlignment="1">
      <alignment horizontal="center" vertical="center"/>
    </xf>
    <xf numFmtId="0" fontId="14" fillId="21" borderId="1" xfId="0" applyFont="1" applyFill="1" applyBorder="1" applyAlignment="1">
      <alignment horizontal="center" vertical="center"/>
    </xf>
    <xf numFmtId="3" fontId="13" fillId="21" borderId="1" xfId="0" applyNumberFormat="1" applyFont="1" applyFill="1" applyBorder="1" applyAlignment="1">
      <alignment horizontal="center" vertical="center"/>
    </xf>
    <xf numFmtId="0" fontId="13" fillId="2" borderId="0" xfId="0" applyFont="1" applyFill="1" applyBorder="1"/>
    <xf numFmtId="0" fontId="33" fillId="2" borderId="67" xfId="0" applyFont="1" applyFill="1" applyBorder="1" applyAlignment="1">
      <alignment horizontal="center" vertical="center"/>
    </xf>
    <xf numFmtId="0" fontId="33" fillId="2" borderId="68" xfId="0" applyFont="1" applyFill="1" applyBorder="1" applyAlignment="1">
      <alignment horizontal="center" vertical="center"/>
    </xf>
    <xf numFmtId="0" fontId="13" fillId="21" borderId="67" xfId="0" applyFont="1" applyFill="1" applyBorder="1" applyAlignment="1">
      <alignment horizontal="center" vertical="center"/>
    </xf>
    <xf numFmtId="0" fontId="13" fillId="21" borderId="68" xfId="0" applyFont="1" applyFill="1" applyBorder="1" applyAlignment="1">
      <alignment horizontal="center" vertical="center"/>
    </xf>
    <xf numFmtId="0" fontId="14" fillId="2" borderId="67" xfId="0" applyFont="1" applyFill="1" applyBorder="1" applyAlignment="1">
      <alignment horizontal="center" vertical="center"/>
    </xf>
    <xf numFmtId="0" fontId="14" fillId="2" borderId="68" xfId="0" applyFont="1" applyFill="1" applyBorder="1" applyAlignment="1">
      <alignment horizontal="center" vertical="center"/>
    </xf>
    <xf numFmtId="0" fontId="13" fillId="22" borderId="67" xfId="0" applyFont="1" applyFill="1" applyBorder="1" applyAlignment="1">
      <alignment horizontal="center" vertical="center"/>
    </xf>
    <xf numFmtId="0" fontId="13" fillId="22" borderId="68" xfId="0" applyFont="1" applyFill="1" applyBorder="1" applyAlignment="1">
      <alignment horizontal="center" vertical="center"/>
    </xf>
    <xf numFmtId="3" fontId="14" fillId="2" borderId="0" xfId="0" applyNumberFormat="1" applyFont="1" applyFill="1" applyBorder="1" applyAlignment="1">
      <alignment horizontal="left" vertical="center"/>
    </xf>
    <xf numFmtId="3" fontId="13" fillId="2" borderId="0" xfId="0" applyNumberFormat="1" applyFont="1" applyFill="1" applyBorder="1" applyAlignment="1">
      <alignment horizontal="left" vertical="center"/>
    </xf>
    <xf numFmtId="3" fontId="33" fillId="2" borderId="4" xfId="0" applyNumberFormat="1" applyFont="1" applyFill="1" applyBorder="1" applyAlignment="1">
      <alignment horizontal="center" vertical="center"/>
    </xf>
    <xf numFmtId="0" fontId="33" fillId="2" borderId="72" xfId="0" quotePrefix="1" applyFont="1" applyFill="1" applyBorder="1" applyAlignment="1">
      <alignment horizontal="center"/>
    </xf>
    <xf numFmtId="0" fontId="33" fillId="2" borderId="73" xfId="0" quotePrefix="1" applyFont="1" applyFill="1" applyBorder="1" applyAlignment="1">
      <alignment horizontal="center"/>
    </xf>
    <xf numFmtId="3" fontId="14" fillId="7" borderId="87" xfId="0" applyNumberFormat="1" applyFont="1" applyFill="1" applyBorder="1" applyAlignment="1">
      <alignment horizontal="center" vertical="center" wrapText="1"/>
    </xf>
    <xf numFmtId="3" fontId="14" fillId="7" borderId="88" xfId="0" applyNumberFormat="1" applyFont="1" applyFill="1" applyBorder="1" applyAlignment="1">
      <alignment horizontal="center" vertical="center" wrapText="1"/>
    </xf>
    <xf numFmtId="3" fontId="14" fillId="7" borderId="89" xfId="0" applyNumberFormat="1" applyFont="1" applyFill="1" applyBorder="1" applyAlignment="1">
      <alignment horizontal="center" vertical="center" wrapText="1"/>
    </xf>
    <xf numFmtId="3" fontId="33" fillId="2" borderId="72" xfId="0" applyNumberFormat="1" applyFont="1" applyFill="1" applyBorder="1" applyAlignment="1">
      <alignment horizontal="center" vertical="center"/>
    </xf>
    <xf numFmtId="3" fontId="33" fillId="2" borderId="73" xfId="0" applyNumberFormat="1" applyFont="1" applyFill="1" applyBorder="1" applyAlignment="1">
      <alignment horizontal="center" vertical="center"/>
    </xf>
    <xf numFmtId="4" fontId="33" fillId="2" borderId="67" xfId="0" applyNumberFormat="1" applyFont="1" applyFill="1" applyBorder="1" applyAlignment="1">
      <alignment horizontal="center" vertical="center"/>
    </xf>
    <xf numFmtId="4" fontId="33" fillId="2" borderId="68" xfId="0" applyNumberFormat="1" applyFont="1" applyFill="1" applyBorder="1" applyAlignment="1">
      <alignment horizontal="center" vertical="center"/>
    </xf>
    <xf numFmtId="4" fontId="13" fillId="21" borderId="67" xfId="0" applyNumberFormat="1" applyFont="1" applyFill="1" applyBorder="1" applyAlignment="1">
      <alignment horizontal="center" vertical="center"/>
    </xf>
    <xf numFmtId="4" fontId="13" fillId="21" borderId="68" xfId="0" applyNumberFormat="1" applyFont="1" applyFill="1" applyBorder="1" applyAlignment="1">
      <alignment horizontal="center" vertical="center"/>
    </xf>
    <xf numFmtId="4" fontId="14" fillId="2" borderId="67" xfId="0" applyNumberFormat="1" applyFont="1" applyFill="1" applyBorder="1" applyAlignment="1">
      <alignment horizontal="center" vertical="center"/>
    </xf>
    <xf numFmtId="4" fontId="14" fillId="2" borderId="68" xfId="0" applyNumberFormat="1" applyFont="1" applyFill="1" applyBorder="1" applyAlignment="1">
      <alignment horizontal="center" vertical="center"/>
    </xf>
    <xf numFmtId="4" fontId="13" fillId="22" borderId="67" xfId="0" applyNumberFormat="1" applyFont="1" applyFill="1" applyBorder="1" applyAlignment="1">
      <alignment horizontal="center" vertical="center"/>
    </xf>
    <xf numFmtId="4" fontId="13" fillId="22" borderId="68" xfId="0" applyNumberFormat="1" applyFont="1" applyFill="1" applyBorder="1" applyAlignment="1">
      <alignment horizontal="center" vertical="center"/>
    </xf>
    <xf numFmtId="3" fontId="14" fillId="7" borderId="32" xfId="0" applyNumberFormat="1" applyFont="1" applyFill="1" applyBorder="1" applyAlignment="1">
      <alignment horizontal="center" vertical="center" wrapText="1"/>
    </xf>
    <xf numFmtId="3" fontId="33" fillId="2" borderId="71" xfId="0" applyNumberFormat="1" applyFont="1" applyFill="1" applyBorder="1" applyAlignment="1">
      <alignment horizontal="center" vertical="center"/>
    </xf>
    <xf numFmtId="3" fontId="33" fillId="2" borderId="13" xfId="0" applyNumberFormat="1" applyFont="1" applyFill="1" applyBorder="1" applyAlignment="1">
      <alignment horizontal="center" vertical="center"/>
    </xf>
    <xf numFmtId="165" fontId="13" fillId="21" borderId="13" xfId="0" applyNumberFormat="1" applyFont="1" applyFill="1" applyBorder="1" applyAlignment="1">
      <alignment horizontal="center" vertical="center"/>
    </xf>
    <xf numFmtId="165" fontId="13" fillId="22" borderId="13" xfId="0" applyNumberFormat="1" applyFont="1" applyFill="1" applyBorder="1" applyAlignment="1">
      <alignment horizontal="center" vertical="center"/>
    </xf>
    <xf numFmtId="3" fontId="14" fillId="7" borderId="89" xfId="0" quotePrefix="1" applyNumberFormat="1" applyFont="1" applyFill="1" applyBorder="1" applyAlignment="1">
      <alignment horizontal="center" vertical="center" wrapText="1"/>
    </xf>
    <xf numFmtId="0" fontId="33" fillId="2" borderId="72" xfId="0" applyNumberFormat="1" applyFont="1" applyFill="1" applyBorder="1" applyAlignment="1">
      <alignment horizontal="left" vertical="center"/>
    </xf>
    <xf numFmtId="0" fontId="33" fillId="2" borderId="67" xfId="0" applyNumberFormat="1" applyFont="1" applyFill="1" applyBorder="1" applyAlignment="1">
      <alignment horizontal="left" vertical="center"/>
    </xf>
    <xf numFmtId="3" fontId="33" fillId="2" borderId="68" xfId="0" applyNumberFormat="1" applyFont="1" applyFill="1" applyBorder="1" applyAlignment="1">
      <alignment horizontal="center" vertical="center"/>
    </xf>
    <xf numFmtId="0" fontId="13" fillId="21" borderId="67" xfId="0" applyNumberFormat="1" applyFont="1" applyFill="1" applyBorder="1" applyAlignment="1">
      <alignment horizontal="left" vertical="center"/>
    </xf>
    <xf numFmtId="3" fontId="13" fillId="21" borderId="68" xfId="0" applyNumberFormat="1" applyFont="1" applyFill="1" applyBorder="1" applyAlignment="1">
      <alignment horizontal="center" vertical="center"/>
    </xf>
    <xf numFmtId="0" fontId="14" fillId="2" borderId="67" xfId="0" applyNumberFormat="1" applyFont="1" applyFill="1" applyBorder="1" applyAlignment="1">
      <alignment horizontal="left" vertical="center"/>
    </xf>
    <xf numFmtId="3" fontId="14" fillId="21" borderId="68" xfId="0" applyNumberFormat="1" applyFont="1" applyFill="1" applyBorder="1" applyAlignment="1">
      <alignment horizontal="center" vertical="center"/>
    </xf>
    <xf numFmtId="0" fontId="13" fillId="22" borderId="67" xfId="0" applyNumberFormat="1" applyFont="1" applyFill="1" applyBorder="1" applyAlignment="1">
      <alignment horizontal="left" vertical="center"/>
    </xf>
    <xf numFmtId="3" fontId="13" fillId="22" borderId="68" xfId="0" applyNumberFormat="1" applyFont="1" applyFill="1" applyBorder="1" applyAlignment="1">
      <alignment horizontal="center" vertical="center"/>
    </xf>
    <xf numFmtId="0" fontId="14" fillId="2" borderId="90" xfId="0" applyNumberFormat="1" applyFont="1" applyFill="1" applyBorder="1" applyAlignment="1">
      <alignment horizontal="left" vertical="center"/>
    </xf>
    <xf numFmtId="3" fontId="14" fillId="21" borderId="91" xfId="0" applyNumberFormat="1" applyFont="1" applyFill="1" applyBorder="1" applyAlignment="1">
      <alignment horizontal="center" vertical="center"/>
    </xf>
    <xf numFmtId="165" fontId="14" fillId="2" borderId="86" xfId="0" applyNumberFormat="1" applyFont="1" applyFill="1" applyBorder="1" applyAlignment="1">
      <alignment horizontal="center" vertical="center"/>
    </xf>
    <xf numFmtId="4" fontId="14" fillId="2" borderId="90" xfId="0" applyNumberFormat="1" applyFont="1" applyFill="1" applyBorder="1" applyAlignment="1">
      <alignment horizontal="center" vertical="center"/>
    </xf>
    <xf numFmtId="4" fontId="14" fillId="2" borderId="91" xfId="0" applyNumberFormat="1" applyFont="1" applyFill="1" applyBorder="1" applyAlignment="1">
      <alignment horizontal="center" vertical="center"/>
    </xf>
    <xf numFmtId="0" fontId="14" fillId="2" borderId="90" xfId="0" applyFont="1" applyFill="1" applyBorder="1" applyAlignment="1">
      <alignment horizontal="center" vertical="center"/>
    </xf>
    <xf numFmtId="0" fontId="14" fillId="2" borderId="91" xfId="0" applyFont="1" applyFill="1" applyBorder="1" applyAlignment="1">
      <alignment horizontal="center" vertical="center"/>
    </xf>
    <xf numFmtId="0" fontId="14" fillId="6" borderId="87" xfId="0" applyFont="1" applyFill="1" applyBorder="1" applyAlignment="1">
      <alignment horizontal="center" vertical="center"/>
    </xf>
    <xf numFmtId="0" fontId="14" fillId="6" borderId="88" xfId="0" applyFont="1" applyFill="1" applyBorder="1" applyAlignment="1">
      <alignment horizontal="center" vertical="center"/>
    </xf>
    <xf numFmtId="0" fontId="14" fillId="6" borderId="89" xfId="0" applyFont="1" applyFill="1" applyBorder="1" applyAlignment="1">
      <alignment horizontal="center" vertical="center"/>
    </xf>
    <xf numFmtId="0" fontId="14" fillId="6" borderId="32" xfId="0" applyFont="1" applyFill="1" applyBorder="1" applyAlignment="1">
      <alignment horizontal="center" vertical="center"/>
    </xf>
    <xf numFmtId="3" fontId="14" fillId="6" borderId="89" xfId="0" applyNumberFormat="1" applyFont="1" applyFill="1" applyBorder="1" applyAlignment="1">
      <alignment horizontal="center" vertical="center"/>
    </xf>
    <xf numFmtId="0" fontId="14" fillId="6" borderId="87" xfId="0" applyFont="1" applyFill="1" applyBorder="1" applyAlignment="1">
      <alignment horizontal="center"/>
    </xf>
    <xf numFmtId="0" fontId="14" fillId="6" borderId="89" xfId="0" applyFont="1" applyFill="1" applyBorder="1" applyAlignment="1">
      <alignment horizontal="center"/>
    </xf>
    <xf numFmtId="0" fontId="32" fillId="21" borderId="1" xfId="0" applyFont="1" applyFill="1" applyBorder="1" applyAlignment="1">
      <alignment horizontal="center" vertical="center"/>
    </xf>
    <xf numFmtId="3" fontId="32" fillId="21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3" fontId="32" fillId="22" borderId="1" xfId="0" applyNumberFormat="1" applyFont="1" applyFill="1" applyBorder="1" applyAlignment="1">
      <alignment horizontal="center" vertical="center"/>
    </xf>
    <xf numFmtId="0" fontId="14" fillId="17" borderId="0" xfId="0" applyFont="1" applyFill="1" applyAlignment="1">
      <alignment horizontal="center" vertical="center"/>
    </xf>
    <xf numFmtId="165" fontId="14" fillId="13" borderId="21" xfId="0" applyNumberFormat="1" applyFont="1" applyFill="1" applyBorder="1" applyAlignment="1">
      <alignment horizontal="center" vertical="center"/>
    </xf>
    <xf numFmtId="165" fontId="14" fillId="13" borderId="21" xfId="0" applyNumberFormat="1" applyFont="1" applyFill="1" applyBorder="1"/>
    <xf numFmtId="165" fontId="28" fillId="9" borderId="10" xfId="0" applyNumberFormat="1" applyFont="1" applyFill="1" applyBorder="1" applyAlignment="1">
      <alignment horizontal="center" vertical="center"/>
    </xf>
    <xf numFmtId="165" fontId="14" fillId="9" borderId="21" xfId="0" applyNumberFormat="1" applyFont="1" applyFill="1" applyBorder="1"/>
    <xf numFmtId="4" fontId="14" fillId="2" borderId="3" xfId="0" applyNumberFormat="1" applyFont="1" applyFill="1" applyBorder="1" applyAlignment="1">
      <alignment horizontal="center" vertical="center"/>
    </xf>
    <xf numFmtId="4" fontId="14" fillId="2" borderId="3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165" fontId="16" fillId="7" borderId="0" xfId="0" applyNumberFormat="1" applyFont="1" applyFill="1" applyAlignment="1">
      <alignment horizontal="center" vertical="center"/>
    </xf>
    <xf numFmtId="0" fontId="22" fillId="8" borderId="5" xfId="0" applyFont="1" applyFill="1" applyBorder="1" applyAlignment="1">
      <alignment horizontal="center" vertical="center" wrapText="1"/>
    </xf>
    <xf numFmtId="0" fontId="22" fillId="8" borderId="15" xfId="0" applyFont="1" applyFill="1" applyBorder="1" applyAlignment="1">
      <alignment horizontal="center" vertical="center" wrapText="1"/>
    </xf>
    <xf numFmtId="0" fontId="22" fillId="8" borderId="4" xfId="0" applyFont="1" applyFill="1" applyBorder="1" applyAlignment="1">
      <alignment horizontal="center" vertical="center" wrapText="1"/>
    </xf>
    <xf numFmtId="0" fontId="22" fillId="17" borderId="5" xfId="0" applyFont="1" applyFill="1" applyBorder="1" applyAlignment="1">
      <alignment horizontal="center" vertical="center" wrapText="1"/>
    </xf>
    <xf numFmtId="0" fontId="22" fillId="17" borderId="15" xfId="0" applyFont="1" applyFill="1" applyBorder="1" applyAlignment="1">
      <alignment horizontal="center" vertical="center" wrapText="1"/>
    </xf>
    <xf numFmtId="0" fontId="22" fillId="17" borderId="4" xfId="0" applyFont="1" applyFill="1" applyBorder="1" applyAlignment="1">
      <alignment horizontal="center" vertical="center" wrapText="1"/>
    </xf>
    <xf numFmtId="0" fontId="22" fillId="17" borderId="16" xfId="0" applyFont="1" applyFill="1" applyBorder="1" applyAlignment="1">
      <alignment horizontal="center" vertical="center" wrapText="1"/>
    </xf>
    <xf numFmtId="0" fontId="22" fillId="17" borderId="0" xfId="0" applyFont="1" applyFill="1" applyBorder="1" applyAlignment="1">
      <alignment horizontal="center" vertical="center" wrapText="1"/>
    </xf>
    <xf numFmtId="0" fontId="22" fillId="17" borderId="25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left" vertical="center" wrapText="1"/>
    </xf>
    <xf numFmtId="0" fontId="32" fillId="7" borderId="1" xfId="0" applyFont="1" applyFill="1" applyBorder="1" applyAlignment="1">
      <alignment horizontal="justify" vertical="center" wrapText="1"/>
    </xf>
    <xf numFmtId="0" fontId="32" fillId="6" borderId="1" xfId="0" applyFont="1" applyFill="1" applyBorder="1" applyAlignment="1">
      <alignment horizontal="center" vertical="center"/>
    </xf>
    <xf numFmtId="0" fontId="14" fillId="0" borderId="25" xfId="0" applyFont="1" applyBorder="1" applyAlignment="1">
      <alignment horizontal="left" vertical="center" wrapText="1"/>
    </xf>
    <xf numFmtId="0" fontId="20" fillId="6" borderId="58" xfId="0" applyFont="1" applyFill="1" applyBorder="1" applyAlignment="1">
      <alignment horizontal="center" vertical="center"/>
    </xf>
    <xf numFmtId="0" fontId="20" fillId="6" borderId="60" xfId="0" applyFont="1" applyFill="1" applyBorder="1" applyAlignment="1">
      <alignment horizontal="center" vertical="center"/>
    </xf>
    <xf numFmtId="0" fontId="20" fillId="6" borderId="61" xfId="0" applyFont="1" applyFill="1" applyBorder="1" applyAlignment="1">
      <alignment horizontal="center" vertical="center" wrapText="1"/>
    </xf>
    <xf numFmtId="0" fontId="20" fillId="6" borderId="62" xfId="0" applyFont="1" applyFill="1" applyBorder="1" applyAlignment="1">
      <alignment horizontal="center" vertical="center" wrapText="1"/>
    </xf>
    <xf numFmtId="0" fontId="20" fillId="6" borderId="63" xfId="0" applyFont="1" applyFill="1" applyBorder="1" applyAlignment="1">
      <alignment horizontal="center" vertical="center" wrapText="1"/>
    </xf>
    <xf numFmtId="0" fontId="20" fillId="6" borderId="6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/>
    </xf>
    <xf numFmtId="0" fontId="14" fillId="7" borderId="1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horizontal="left"/>
    </xf>
    <xf numFmtId="0" fontId="14" fillId="7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4" fillId="10" borderId="8" xfId="0" applyFont="1" applyFill="1" applyBorder="1"/>
    <xf numFmtId="0" fontId="14" fillId="10" borderId="17" xfId="0" applyFont="1" applyFill="1" applyBorder="1"/>
    <xf numFmtId="0" fontId="14" fillId="10" borderId="3" xfId="0" applyFont="1" applyFill="1" applyBorder="1"/>
    <xf numFmtId="0" fontId="14" fillId="2" borderId="8" xfId="0" applyFont="1" applyFill="1" applyBorder="1"/>
    <xf numFmtId="0" fontId="14" fillId="2" borderId="17" xfId="0" applyFont="1" applyFill="1" applyBorder="1"/>
    <xf numFmtId="0" fontId="14" fillId="2" borderId="3" xfId="0" applyFont="1" applyFill="1" applyBorder="1"/>
    <xf numFmtId="0" fontId="22" fillId="6" borderId="9" xfId="0" applyFont="1" applyFill="1" applyBorder="1" applyAlignment="1">
      <alignment horizontal="justify" vertical="center"/>
    </xf>
    <xf numFmtId="0" fontId="22" fillId="6" borderId="10" xfId="0" applyFont="1" applyFill="1" applyBorder="1" applyAlignment="1">
      <alignment horizontal="justify" vertical="center"/>
    </xf>
    <xf numFmtId="0" fontId="22" fillId="6" borderId="21" xfId="0" applyFont="1" applyFill="1" applyBorder="1" applyAlignment="1">
      <alignment horizontal="justify" vertical="center"/>
    </xf>
    <xf numFmtId="0" fontId="24" fillId="2" borderId="1" xfId="15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25" fillId="2" borderId="0" xfId="15" applyFont="1" applyFill="1" applyAlignment="1">
      <alignment horizontal="left" vertical="center" wrapText="1"/>
    </xf>
    <xf numFmtId="0" fontId="26" fillId="2" borderId="8" xfId="15" applyFont="1" applyFill="1" applyBorder="1" applyAlignment="1">
      <alignment horizontal="left" vertical="center"/>
    </xf>
    <xf numFmtId="0" fontId="26" fillId="2" borderId="17" xfId="15" applyFont="1" applyFill="1" applyBorder="1" applyAlignment="1">
      <alignment horizontal="left" vertical="center"/>
    </xf>
    <xf numFmtId="0" fontId="26" fillId="2" borderId="3" xfId="15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15" applyFont="1" applyFill="1" applyBorder="1" applyAlignment="1">
      <alignment horizontal="left" vertical="center" wrapText="1"/>
    </xf>
    <xf numFmtId="0" fontId="24" fillId="2" borderId="1" xfId="15" applyFont="1" applyFill="1" applyBorder="1" applyAlignment="1">
      <alignment horizontal="center" vertical="center" wrapText="1"/>
    </xf>
    <xf numFmtId="0" fontId="12" fillId="2" borderId="1" xfId="15" applyFont="1" applyFill="1" applyBorder="1" applyAlignment="1">
      <alignment horizontal="center" vertical="center" wrapText="1"/>
    </xf>
    <xf numFmtId="0" fontId="24" fillId="2" borderId="16" xfId="15" applyFont="1" applyFill="1" applyBorder="1" applyAlignment="1">
      <alignment horizontal="left"/>
    </xf>
    <xf numFmtId="0" fontId="25" fillId="2" borderId="0" xfId="15" applyFont="1" applyFill="1" applyBorder="1" applyAlignment="1">
      <alignment horizontal="left" wrapText="1"/>
    </xf>
    <xf numFmtId="0" fontId="26" fillId="2" borderId="8" xfId="15" applyFont="1" applyFill="1" applyBorder="1" applyAlignment="1">
      <alignment horizontal="left"/>
    </xf>
    <xf numFmtId="0" fontId="26" fillId="2" borderId="17" xfId="15" applyFont="1" applyFill="1" applyBorder="1" applyAlignment="1">
      <alignment horizontal="left"/>
    </xf>
    <xf numFmtId="0" fontId="26" fillId="2" borderId="3" xfId="15" applyFont="1" applyFill="1" applyBorder="1" applyAlignment="1">
      <alignment horizontal="left"/>
    </xf>
    <xf numFmtId="0" fontId="24" fillId="2" borderId="0" xfId="15" applyFont="1" applyFill="1" applyAlignment="1">
      <alignment horizontal="center"/>
    </xf>
    <xf numFmtId="0" fontId="24" fillId="2" borderId="8" xfId="15" applyFont="1" applyFill="1" applyBorder="1" applyAlignment="1">
      <alignment horizontal="center" vertical="center" wrapText="1"/>
    </xf>
    <xf numFmtId="0" fontId="24" fillId="2" borderId="3" xfId="15" applyFont="1" applyFill="1" applyBorder="1" applyAlignment="1">
      <alignment horizontal="center" vertical="center" wrapText="1"/>
    </xf>
    <xf numFmtId="0" fontId="24" fillId="2" borderId="8" xfId="15" applyFont="1" applyFill="1" applyBorder="1" applyAlignment="1">
      <alignment horizontal="left" vertical="center" wrapText="1"/>
    </xf>
    <xf numFmtId="0" fontId="24" fillId="2" borderId="3" xfId="15" applyFont="1" applyFill="1" applyBorder="1" applyAlignment="1">
      <alignment horizontal="left" vertical="center" wrapText="1"/>
    </xf>
    <xf numFmtId="0" fontId="24" fillId="2" borderId="1" xfId="15" applyFont="1" applyFill="1" applyBorder="1" applyAlignment="1">
      <alignment horizontal="left"/>
    </xf>
    <xf numFmtId="0" fontId="24" fillId="8" borderId="1" xfId="15" applyFont="1" applyFill="1" applyBorder="1" applyAlignment="1">
      <alignment horizontal="left" vertical="center" wrapText="1"/>
    </xf>
    <xf numFmtId="0" fontId="24" fillId="8" borderId="8" xfId="15" applyFont="1" applyFill="1" applyBorder="1" applyAlignment="1">
      <alignment horizontal="center" vertical="center" wrapText="1"/>
    </xf>
    <xf numFmtId="0" fontId="24" fillId="8" borderId="3" xfId="15" applyFont="1" applyFill="1" applyBorder="1" applyAlignment="1">
      <alignment horizontal="center" vertical="center" wrapText="1"/>
    </xf>
    <xf numFmtId="0" fontId="24" fillId="2" borderId="1" xfId="15" applyFont="1" applyFill="1" applyBorder="1" applyAlignment="1">
      <alignment horizontal="left" wrapText="1"/>
    </xf>
    <xf numFmtId="0" fontId="24" fillId="8" borderId="1" xfId="15" applyFont="1" applyFill="1" applyBorder="1" applyAlignment="1">
      <alignment horizontal="left"/>
    </xf>
    <xf numFmtId="0" fontId="24" fillId="2" borderId="1" xfId="15" applyFont="1" applyFill="1" applyBorder="1" applyAlignment="1">
      <alignment vertical="center" wrapText="1"/>
    </xf>
    <xf numFmtId="0" fontId="24" fillId="8" borderId="1" xfId="15" applyFont="1" applyFill="1" applyBorder="1" applyAlignment="1">
      <alignment vertical="center" wrapText="1"/>
    </xf>
    <xf numFmtId="0" fontId="24" fillId="8" borderId="2" xfId="0" applyFont="1" applyFill="1" applyBorder="1" applyAlignment="1">
      <alignment horizontal="center" vertical="center" wrapText="1"/>
    </xf>
    <xf numFmtId="0" fontId="24" fillId="8" borderId="16" xfId="0" applyFont="1" applyFill="1" applyBorder="1" applyAlignment="1">
      <alignment horizontal="center" vertical="center" wrapText="1"/>
    </xf>
    <xf numFmtId="0" fontId="24" fillId="8" borderId="33" xfId="0" applyFont="1" applyFill="1" applyBorder="1" applyAlignment="1">
      <alignment horizontal="center" vertical="center" wrapText="1"/>
    </xf>
    <xf numFmtId="0" fontId="24" fillId="8" borderId="35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34" xfId="0" applyFont="1" applyFill="1" applyBorder="1" applyAlignment="1">
      <alignment horizontal="center" vertical="center" wrapText="1"/>
    </xf>
    <xf numFmtId="0" fontId="24" fillId="8" borderId="1" xfId="15" applyFont="1" applyFill="1" applyBorder="1" applyAlignment="1">
      <alignment horizontal="left" vertical="top" wrapText="1"/>
    </xf>
    <xf numFmtId="0" fontId="24" fillId="8" borderId="2" xfId="15" applyFont="1" applyFill="1" applyBorder="1" applyAlignment="1">
      <alignment horizontal="center" vertical="center" wrapText="1"/>
    </xf>
    <xf numFmtId="0" fontId="24" fillId="8" borderId="16" xfId="15" applyFont="1" applyFill="1" applyBorder="1" applyAlignment="1">
      <alignment horizontal="center" vertical="center" wrapText="1"/>
    </xf>
    <xf numFmtId="0" fontId="24" fillId="8" borderId="33" xfId="15" applyFont="1" applyFill="1" applyBorder="1" applyAlignment="1">
      <alignment horizontal="center" vertical="center" wrapText="1"/>
    </xf>
    <xf numFmtId="0" fontId="24" fillId="8" borderId="23" xfId="15" applyFont="1" applyFill="1" applyBorder="1" applyAlignment="1">
      <alignment horizontal="center" vertical="center" wrapText="1"/>
    </xf>
    <xf numFmtId="0" fontId="24" fillId="8" borderId="0" xfId="15" applyFont="1" applyFill="1" applyBorder="1" applyAlignment="1">
      <alignment horizontal="center" vertical="center" wrapText="1"/>
    </xf>
    <xf numFmtId="0" fontId="24" fillId="8" borderId="57" xfId="15" applyFont="1" applyFill="1" applyBorder="1" applyAlignment="1">
      <alignment horizontal="center" vertical="center" wrapText="1"/>
    </xf>
    <xf numFmtId="0" fontId="24" fillId="8" borderId="35" xfId="15" applyFont="1" applyFill="1" applyBorder="1" applyAlignment="1">
      <alignment horizontal="center" vertical="center" wrapText="1"/>
    </xf>
    <xf numFmtId="0" fontId="24" fillId="8" borderId="25" xfId="15" applyFont="1" applyFill="1" applyBorder="1" applyAlignment="1">
      <alignment horizontal="center" vertical="center" wrapText="1"/>
    </xf>
    <xf numFmtId="0" fontId="24" fillId="8" borderId="34" xfId="15" applyFont="1" applyFill="1" applyBorder="1" applyAlignment="1">
      <alignment horizontal="center" vertical="center" wrapText="1"/>
    </xf>
    <xf numFmtId="0" fontId="19" fillId="2" borderId="48" xfId="0" applyFont="1" applyFill="1" applyBorder="1" applyAlignment="1">
      <alignment vertical="center" wrapText="1"/>
    </xf>
    <xf numFmtId="0" fontId="19" fillId="2" borderId="49" xfId="0" applyFont="1" applyFill="1" applyBorder="1" applyAlignment="1">
      <alignment vertical="center" wrapText="1"/>
    </xf>
    <xf numFmtId="0" fontId="19" fillId="2" borderId="50" xfId="0" applyFont="1" applyFill="1" applyBorder="1" applyAlignment="1">
      <alignment vertical="center" wrapText="1"/>
    </xf>
    <xf numFmtId="0" fontId="19" fillId="2" borderId="46" xfId="0" applyFont="1" applyFill="1" applyBorder="1" applyAlignment="1">
      <alignment vertical="center" wrapText="1"/>
    </xf>
    <xf numFmtId="0" fontId="19" fillId="2" borderId="37" xfId="0" applyFont="1" applyFill="1" applyBorder="1" applyAlignment="1">
      <alignment vertical="center" wrapText="1"/>
    </xf>
    <xf numFmtId="0" fontId="19" fillId="2" borderId="38" xfId="0" applyFont="1" applyFill="1" applyBorder="1" applyAlignment="1">
      <alignment vertical="center" wrapText="1"/>
    </xf>
    <xf numFmtId="0" fontId="19" fillId="2" borderId="36" xfId="0" applyFont="1" applyFill="1" applyBorder="1" applyAlignment="1">
      <alignment vertical="center" wrapText="1"/>
    </xf>
    <xf numFmtId="0" fontId="19" fillId="8" borderId="48" xfId="0" applyFont="1" applyFill="1" applyBorder="1" applyAlignment="1">
      <alignment horizontal="left" vertical="center" wrapText="1" indent="1"/>
    </xf>
    <xf numFmtId="0" fontId="19" fillId="8" borderId="50" xfId="0" applyFont="1" applyFill="1" applyBorder="1" applyAlignment="1">
      <alignment horizontal="left" vertical="center" wrapText="1" inden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 vertical="center" wrapText="1"/>
    </xf>
    <xf numFmtId="0" fontId="19" fillId="2" borderId="44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 wrapText="1"/>
    </xf>
    <xf numFmtId="0" fontId="9" fillId="8" borderId="56" xfId="0" applyFont="1" applyFill="1" applyBorder="1" applyAlignment="1">
      <alignment vertical="center" wrapText="1"/>
    </xf>
    <xf numFmtId="0" fontId="9" fillId="8" borderId="19" xfId="0" applyFont="1" applyFill="1" applyBorder="1" applyAlignment="1">
      <alignment vertical="center" wrapText="1"/>
    </xf>
    <xf numFmtId="0" fontId="9" fillId="8" borderId="51" xfId="0" applyFont="1" applyFill="1" applyBorder="1" applyAlignment="1">
      <alignment vertical="center" wrapText="1"/>
    </xf>
    <xf numFmtId="0" fontId="19" fillId="8" borderId="55" xfId="0" applyFont="1" applyFill="1" applyBorder="1" applyAlignment="1">
      <alignment vertical="center" wrapText="1"/>
    </xf>
    <xf numFmtId="0" fontId="19" fillId="8" borderId="27" xfId="0" applyFont="1" applyFill="1" applyBorder="1" applyAlignment="1">
      <alignment vertical="center" wrapText="1"/>
    </xf>
    <xf numFmtId="0" fontId="19" fillId="8" borderId="11" xfId="0" applyFont="1" applyFill="1" applyBorder="1" applyAlignment="1">
      <alignment vertical="center" wrapText="1"/>
    </xf>
    <xf numFmtId="0" fontId="19" fillId="8" borderId="39" xfId="0" applyFont="1" applyFill="1" applyBorder="1" applyAlignment="1">
      <alignment vertical="center" wrapText="1"/>
    </xf>
    <xf numFmtId="0" fontId="19" fillId="8" borderId="0" xfId="0" applyFont="1" applyFill="1" applyBorder="1" applyAlignment="1">
      <alignment vertical="center" wrapText="1"/>
    </xf>
    <xf numFmtId="0" fontId="19" fillId="8" borderId="12" xfId="0" applyFont="1" applyFill="1" applyBorder="1" applyAlignment="1">
      <alignment vertical="center" wrapText="1"/>
    </xf>
    <xf numFmtId="0" fontId="9" fillId="8" borderId="39" xfId="0" applyFont="1" applyFill="1" applyBorder="1" applyAlignment="1">
      <alignment vertical="center" wrapText="1"/>
    </xf>
    <xf numFmtId="0" fontId="9" fillId="8" borderId="0" xfId="0" applyFont="1" applyFill="1" applyBorder="1" applyAlignment="1">
      <alignment vertical="center" wrapText="1"/>
    </xf>
    <xf numFmtId="0" fontId="9" fillId="8" borderId="12" xfId="0" applyFont="1" applyFill="1" applyBorder="1" applyAlignment="1">
      <alignment vertical="center" wrapText="1"/>
    </xf>
    <xf numFmtId="0" fontId="9" fillId="8" borderId="20" xfId="0" applyFont="1" applyFill="1" applyBorder="1" applyAlignment="1">
      <alignment vertical="center" wrapText="1"/>
    </xf>
    <xf numFmtId="0" fontId="19" fillId="8" borderId="26" xfId="0" applyFont="1" applyFill="1" applyBorder="1" applyAlignment="1">
      <alignment horizontal="right" vertical="center" wrapText="1"/>
    </xf>
    <xf numFmtId="0" fontId="19" fillId="8" borderId="27" xfId="0" applyFont="1" applyFill="1" applyBorder="1" applyAlignment="1">
      <alignment horizontal="right" vertical="center" wrapText="1"/>
    </xf>
    <xf numFmtId="0" fontId="19" fillId="8" borderId="27" xfId="0" applyFont="1" applyFill="1" applyBorder="1" applyAlignment="1">
      <alignment horizontal="left" vertical="center" wrapText="1" indent="4"/>
    </xf>
    <xf numFmtId="0" fontId="19" fillId="8" borderId="11" xfId="0" applyFont="1" applyFill="1" applyBorder="1" applyAlignment="1">
      <alignment horizontal="left" vertical="center" wrapText="1" indent="4"/>
    </xf>
    <xf numFmtId="0" fontId="19" fillId="8" borderId="26" xfId="0" applyFont="1" applyFill="1" applyBorder="1" applyAlignment="1">
      <alignment horizontal="left" vertical="center" wrapText="1" indent="1"/>
    </xf>
    <xf numFmtId="0" fontId="19" fillId="8" borderId="54" xfId="0" applyFont="1" applyFill="1" applyBorder="1" applyAlignment="1">
      <alignment horizontal="left" vertical="center" wrapText="1" indent="1"/>
    </xf>
    <xf numFmtId="0" fontId="19" fillId="8" borderId="28" xfId="0" applyFont="1" applyFill="1" applyBorder="1" applyAlignment="1">
      <alignment horizontal="left" vertical="center" wrapText="1" indent="1"/>
    </xf>
    <xf numFmtId="0" fontId="19" fillId="8" borderId="40" xfId="0" applyFont="1" applyFill="1" applyBorder="1" applyAlignment="1">
      <alignment horizontal="left" vertical="center" wrapText="1" indent="1"/>
    </xf>
    <xf numFmtId="0" fontId="19" fillId="8" borderId="44" xfId="0" applyFont="1" applyFill="1" applyBorder="1" applyAlignment="1">
      <alignment horizontal="left" vertical="center" wrapText="1" indent="1"/>
    </xf>
    <xf numFmtId="0" fontId="19" fillId="8" borderId="41" xfId="0" applyFont="1" applyFill="1" applyBorder="1" applyAlignment="1">
      <alignment horizontal="left" vertical="center" wrapText="1" indent="1"/>
    </xf>
    <xf numFmtId="0" fontId="19" fillId="8" borderId="55" xfId="0" applyFont="1" applyFill="1" applyBorder="1" applyAlignment="1">
      <alignment horizontal="left" vertical="center" wrapText="1" indent="4"/>
    </xf>
    <xf numFmtId="0" fontId="19" fillId="8" borderId="54" xfId="0" applyFont="1" applyFill="1" applyBorder="1" applyAlignment="1">
      <alignment horizontal="left" vertical="center" wrapText="1" indent="4"/>
    </xf>
    <xf numFmtId="0" fontId="19" fillId="8" borderId="39" xfId="0" applyFont="1" applyFill="1" applyBorder="1" applyAlignment="1">
      <alignment horizontal="center" vertical="center" wrapText="1"/>
    </xf>
    <xf numFmtId="0" fontId="19" fillId="8" borderId="0" xfId="0" applyFont="1" applyFill="1" applyBorder="1" applyAlignment="1">
      <alignment horizontal="center" vertical="center" wrapText="1"/>
    </xf>
    <xf numFmtId="0" fontId="19" fillId="8" borderId="40" xfId="0" applyFont="1" applyFill="1" applyBorder="1" applyAlignment="1">
      <alignment horizontal="center" vertical="center" wrapText="1"/>
    </xf>
    <xf numFmtId="0" fontId="9" fillId="8" borderId="40" xfId="0" applyFont="1" applyFill="1" applyBorder="1" applyAlignment="1">
      <alignment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2" fillId="6" borderId="19" xfId="0" applyFont="1" applyFill="1" applyBorder="1" applyAlignment="1">
      <alignment horizontal="left" vertical="center" wrapText="1"/>
    </xf>
    <xf numFmtId="0" fontId="38" fillId="2" borderId="0" xfId="0" applyFont="1" applyFill="1" applyBorder="1" applyAlignment="1">
      <alignment horizontal="left" wrapText="1"/>
    </xf>
    <xf numFmtId="0" fontId="39" fillId="2" borderId="8" xfId="0" applyFont="1" applyFill="1" applyBorder="1" applyAlignment="1">
      <alignment horizontal="left"/>
    </xf>
    <xf numFmtId="0" fontId="39" fillId="2" borderId="17" xfId="0" applyFont="1" applyFill="1" applyBorder="1" applyAlignment="1">
      <alignment horizontal="left"/>
    </xf>
    <xf numFmtId="0" fontId="39" fillId="2" borderId="3" xfId="0" applyFont="1" applyFill="1" applyBorder="1" applyAlignment="1">
      <alignment horizontal="left"/>
    </xf>
    <xf numFmtId="0" fontId="14" fillId="2" borderId="0" xfId="0" applyFont="1" applyFill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center" vertical="top" wrapText="1"/>
    </xf>
    <xf numFmtId="0" fontId="34" fillId="6" borderId="1" xfId="0" applyFont="1" applyFill="1" applyBorder="1" applyAlignment="1">
      <alignment vertical="center" wrapText="1"/>
    </xf>
  </cellXfs>
  <cellStyles count="16">
    <cellStyle name="Hiperłącze" xfId="14" builtinId="8"/>
    <cellStyle name="Normalny" xfId="0" builtinId="0"/>
    <cellStyle name="Normalny 2" xfId="15" xr:uid="{00000000-0005-0000-0000-000002000000}"/>
    <cellStyle name="S10" xfId="6" xr:uid="{00000000-0005-0000-0000-000003000000}"/>
    <cellStyle name="S11" xfId="1" xr:uid="{00000000-0005-0000-0000-000004000000}"/>
    <cellStyle name="S12" xfId="7" xr:uid="{00000000-0005-0000-0000-000005000000}"/>
    <cellStyle name="S15" xfId="8" xr:uid="{00000000-0005-0000-0000-000006000000}"/>
    <cellStyle name="S16" xfId="3" xr:uid="{00000000-0005-0000-0000-000007000000}"/>
    <cellStyle name="S17" xfId="5" xr:uid="{00000000-0005-0000-0000-000008000000}"/>
    <cellStyle name="S18" xfId="2" xr:uid="{00000000-0005-0000-0000-000009000000}"/>
    <cellStyle name="S21" xfId="13" xr:uid="{00000000-0005-0000-0000-00000A000000}"/>
    <cellStyle name="S25" xfId="10" xr:uid="{00000000-0005-0000-0000-00000B000000}"/>
    <cellStyle name="S26" xfId="11" xr:uid="{00000000-0005-0000-0000-00000C000000}"/>
    <cellStyle name="S27" xfId="12" xr:uid="{00000000-0005-0000-0000-00000D000000}"/>
    <cellStyle name="S7" xfId="9" xr:uid="{00000000-0005-0000-0000-00000E000000}"/>
    <cellStyle name="S9" xfId="4" xr:uid="{00000000-0005-0000-0000-00000F000000}"/>
  </cellStyles>
  <dxfs count="0"/>
  <tableStyles count="0" defaultTableStyle="TableStyleMedium2" defaultPivotStyle="PivotStyleLight16"/>
  <colors>
    <mruColors>
      <color rgb="FF0000FF"/>
      <color rgb="FFC5D9F1"/>
      <color rgb="FFDCE6F2"/>
      <color rgb="FFB8CCE4"/>
      <color rgb="FFE7EEF5"/>
      <color rgb="FFEAF0F6"/>
      <color rgb="FF8EB4E3"/>
      <color rgb="FF66FF33"/>
      <color rgb="FFCCEC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048692037579222E-2"/>
          <c:y val="5.8148022455336748E-2"/>
          <c:w val="0.96411791913665212"/>
          <c:h val="0.712051691644694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S.25!$C$2</c:f>
              <c:strCache>
                <c:ptCount val="1"/>
                <c:pt idx="0">
                  <c:v>Efektywność zatrudnieniowa (w proc.)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scene3d>
              <a:camera prst="orthographicFront"/>
              <a:lightRig rig="threePt" dir="t"/>
            </a:scene3d>
            <a:sp3d prstMaterial="matte">
              <a:bevelT prst="angle"/>
              <a:bevelB prst="angle"/>
            </a:sp3d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F31-4B01-BF72-C3C8052D3FE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F31-4B01-BF72-C3C8052D3FE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F31-4B01-BF72-C3C8052D3FE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F31-4B01-BF72-C3C8052D3FE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F31-4B01-BF72-C3C8052D3FE8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F31-4B01-BF72-C3C8052D3FE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F31-4B01-BF72-C3C8052D3FE8}"/>
              </c:ext>
            </c:extLst>
          </c:dPt>
          <c:dLbls>
            <c:dLbl>
              <c:idx val="0"/>
              <c:layout>
                <c:manualLayout>
                  <c:x val="-2.5049005935708925E-3"/>
                  <c:y val="0.15965978732193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31-4B01-BF72-C3C8052D3FE8}"/>
                </c:ext>
              </c:extLst>
            </c:dLbl>
            <c:dLbl>
              <c:idx val="1"/>
              <c:layout>
                <c:manualLayout>
                  <c:x val="-2.5257207506255868E-3"/>
                  <c:y val="0.145532789938083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31-4B01-BF72-C3C8052D3FE8}"/>
                </c:ext>
              </c:extLst>
            </c:dLbl>
            <c:dLbl>
              <c:idx val="2"/>
              <c:layout>
                <c:manualLayout>
                  <c:x val="1.041007852734708E-5"/>
                  <c:y val="0.155088480427011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31-4B01-BF72-C3C8052D3FE8}"/>
                </c:ext>
              </c:extLst>
            </c:dLbl>
            <c:dLbl>
              <c:idx val="3"/>
              <c:layout>
                <c:manualLayout>
                  <c:x val="-2.4944905150435454E-3"/>
                  <c:y val="0.154881942077467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31-4B01-BF72-C3C8052D3FE8}"/>
                </c:ext>
              </c:extLst>
            </c:dLbl>
            <c:dLbl>
              <c:idx val="4"/>
              <c:layout>
                <c:manualLayout>
                  <c:x val="-4.9785709515597441E-3"/>
                  <c:y val="0.140651863622991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31-4B01-BF72-C3C8052D3FE8}"/>
                </c:ext>
              </c:extLst>
            </c:dLbl>
            <c:dLbl>
              <c:idx val="5"/>
              <c:layout>
                <c:manualLayout>
                  <c:x val="2.5153106720982397E-3"/>
                  <c:y val="0.140548406344075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31-4B01-BF72-C3C8052D3FE8}"/>
                </c:ext>
              </c:extLst>
            </c:dLbl>
            <c:dLbl>
              <c:idx val="6"/>
              <c:layout>
                <c:manualLayout>
                  <c:x val="-1.9641657598768075E-7"/>
                  <c:y val="0.135874018378527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31-4B01-BF72-C3C8052D3FE8}"/>
                </c:ext>
              </c:extLst>
            </c:dLbl>
            <c:dLbl>
              <c:idx val="7"/>
              <c:layout>
                <c:manualLayout>
                  <c:x val="4.9889810300870908E-3"/>
                  <c:y val="0.130584153655503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31-4B01-BF72-C3C8052D3FE8}"/>
                </c:ext>
              </c:extLst>
            </c:dLbl>
            <c:dLbl>
              <c:idx val="8"/>
              <c:layout>
                <c:manualLayout>
                  <c:x val="7.483471545130637E-3"/>
                  <c:y val="0.1337796668449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31-4B01-BF72-C3C8052D3F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S.25!$B$3:$B$11</c:f>
              <c:strCache>
                <c:ptCount val="9"/>
                <c:pt idx="0">
                  <c:v>Dofinansowanie działalności gospodarczej</c:v>
                </c:pt>
                <c:pt idx="1">
                  <c:v>Roboty publiczne</c:v>
                </c:pt>
                <c:pt idx="2">
                  <c:v>Prace interwencyjne</c:v>
                </c:pt>
                <c:pt idx="3">
                  <c:v>Refundacja kosztów wyposażenia lub doposażenia miejsca pracy</c:v>
                </c:pt>
                <c:pt idx="4">
                  <c:v>Razem 6 form (do por.)</c:v>
                </c:pt>
                <c:pt idx="5">
                  <c:v>Razem 7 podstawowych form</c:v>
                </c:pt>
                <c:pt idx="6">
                  <c:v>Bon na zasiedlenie</c:v>
                </c:pt>
                <c:pt idx="7">
                  <c:v>Staże</c:v>
                </c:pt>
                <c:pt idx="8">
                  <c:v>Szkolenia</c:v>
                </c:pt>
              </c:strCache>
            </c:strRef>
          </c:cat>
          <c:val>
            <c:numRef>
              <c:f>S.25!$C$3:$C$11</c:f>
              <c:numCache>
                <c:formatCode>0.0</c:formatCode>
                <c:ptCount val="9"/>
                <c:pt idx="0">
                  <c:v>97.348066298342545</c:v>
                </c:pt>
                <c:pt idx="1">
                  <c:v>96.568977841315231</c:v>
                </c:pt>
                <c:pt idx="2">
                  <c:v>93.262653898768804</c:v>
                </c:pt>
                <c:pt idx="3">
                  <c:v>89.86486486486487</c:v>
                </c:pt>
                <c:pt idx="4">
                  <c:v>86.175422974176314</c:v>
                </c:pt>
                <c:pt idx="5">
                  <c:v>85.962836662259036</c:v>
                </c:pt>
                <c:pt idx="6">
                  <c:v>82.754759238521842</c:v>
                </c:pt>
                <c:pt idx="7">
                  <c:v>82.448610797379715</c:v>
                </c:pt>
                <c:pt idx="8">
                  <c:v>51.242236024844722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F31-4B01-BF72-C3C8052D3F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207615104"/>
        <c:axId val="207725312"/>
      </c:barChart>
      <c:catAx>
        <c:axId val="20761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55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7725312"/>
        <c:crosses val="autoZero"/>
        <c:auto val="1"/>
        <c:lblAlgn val="ctr"/>
        <c:lblOffset val="100"/>
        <c:noMultiLvlLbl val="0"/>
      </c:catAx>
      <c:valAx>
        <c:axId val="207725312"/>
        <c:scaling>
          <c:orientation val="minMax"/>
        </c:scaling>
        <c:delete val="0"/>
        <c:axPos val="l"/>
        <c:majorGridlines>
          <c:spPr>
            <a:ln>
              <a:solidFill>
                <a:schemeClr val="tx2">
                  <a:lumMod val="75000"/>
                  <a:alpha val="27000"/>
                </a:schemeClr>
              </a:solidFill>
            </a:ln>
          </c:spPr>
        </c:majorGridlines>
        <c:minorGridlines>
          <c:spPr>
            <a:ln>
              <a:solidFill>
                <a:schemeClr val="tx2">
                  <a:lumMod val="60000"/>
                  <a:lumOff val="40000"/>
                  <a:alpha val="17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0761510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chemeClr val="tx2">
            <a:lumMod val="75000"/>
            <a:alpha val="20000"/>
          </a:scheme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0461613620993841"/>
          <c:y val="4.187089820399556E-2"/>
          <c:w val="0.87281770765615119"/>
          <c:h val="0.8258482042350625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S.24!$C$36</c:f>
              <c:strCache>
                <c:ptCount val="1"/>
                <c:pt idx="0">
                  <c:v>KOSZTY (w tys. zł.)</c:v>
                </c:pt>
              </c:strCache>
            </c:strRef>
          </c:tx>
          <c:spPr>
            <a:solidFill>
              <a:schemeClr val="tx2">
                <a:lumMod val="40000"/>
                <a:lumOff val="60000"/>
                <a:alpha val="77255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ED7-4BAC-8053-7A74716198D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ED7-4BAC-8053-7A74716198D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ED7-4BAC-8053-7A74716198D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ED7-4BAC-8053-7A74716198D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ED7-4BAC-8053-7A74716198D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ED7-4BAC-8053-7A74716198D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ED7-4BAC-8053-7A74716198D1}"/>
              </c:ext>
            </c:extLst>
          </c:dPt>
          <c:dLbls>
            <c:dLbl>
              <c:idx val="0"/>
              <c:layout>
                <c:manualLayout>
                  <c:x val="2.178858389138135E-3"/>
                  <c:y val="0.311074547944176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D7-4BAC-8053-7A74716198D1}"/>
                </c:ext>
              </c:extLst>
            </c:dLbl>
            <c:dLbl>
              <c:idx val="1"/>
              <c:layout>
                <c:manualLayout>
                  <c:x val="3.933891843574424E-3"/>
                  <c:y val="0.310352906491522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D7-4BAC-8053-7A74716198D1}"/>
                </c:ext>
              </c:extLst>
            </c:dLbl>
            <c:dLbl>
              <c:idx val="2"/>
              <c:layout>
                <c:manualLayout>
                  <c:x val="8.6121440066104487E-3"/>
                  <c:y val="1.1652477654337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D7-4BAC-8053-7A74716198D1}"/>
                </c:ext>
              </c:extLst>
            </c:dLbl>
            <c:dLbl>
              <c:idx val="3"/>
              <c:layout>
                <c:manualLayout>
                  <c:x val="1.0338910613472288E-2"/>
                  <c:y val="1.97853067634759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D7-4BAC-8053-7A74716198D1}"/>
                </c:ext>
              </c:extLst>
            </c:dLbl>
            <c:dLbl>
              <c:idx val="4"/>
              <c:layout>
                <c:manualLayout>
                  <c:x val="4.4514062667778027E-3"/>
                  <c:y val="1.5136254313734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D7-4BAC-8053-7A74716198D1}"/>
                </c:ext>
              </c:extLst>
            </c:dLbl>
            <c:dLbl>
              <c:idx val="5"/>
              <c:layout>
                <c:manualLayout>
                  <c:x val="8.0784517020908927E-3"/>
                  <c:y val="9.57078728139868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D7-4BAC-8053-7A74716198D1}"/>
                </c:ext>
              </c:extLst>
            </c:dLbl>
            <c:dLbl>
              <c:idx val="6"/>
              <c:layout>
                <c:manualLayout>
                  <c:x val="8.4578319079019887E-3"/>
                  <c:y val="1.0490845102394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D7-4BAC-8053-7A74716198D1}"/>
                </c:ext>
              </c:extLst>
            </c:dLbl>
            <c:dLbl>
              <c:idx val="7"/>
              <c:layout>
                <c:manualLayout>
                  <c:x val="9.2286812857824505E-3"/>
                  <c:y val="-2.87003111325595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D7-4BAC-8053-7A74716198D1}"/>
                </c:ext>
              </c:extLst>
            </c:dLbl>
            <c:dLbl>
              <c:idx val="8"/>
              <c:layout>
                <c:manualLayout>
                  <c:x val="2.2577922276480348E-3"/>
                  <c:y val="-1.3164701840171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D7-4BAC-8053-7A74716198D1}"/>
                </c:ext>
              </c:extLst>
            </c:dLbl>
            <c:spPr>
              <a:solidFill>
                <a:schemeClr val="bg1"/>
              </a:solidFill>
            </c:spPr>
            <c:txPr>
              <a:bodyPr rot="-5400000" vert="horz"/>
              <a:lstStyle/>
              <a:p>
                <a:pPr>
                  <a:defRPr sz="105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S.24!$B$37:$B$45</c:f>
              <c:strCache>
                <c:ptCount val="9"/>
                <c:pt idx="0">
                  <c:v>Razem 7 podstawowych form</c:v>
                </c:pt>
                <c:pt idx="1">
                  <c:v>Razem 6 form (do por.)</c:v>
                </c:pt>
                <c:pt idx="2">
                  <c:v>Dofinansowanie działalności gospodarczej</c:v>
                </c:pt>
                <c:pt idx="3">
                  <c:v>Staże</c:v>
                </c:pt>
                <c:pt idx="4">
                  <c:v>Refundacja kosztów wyposażenia lub doposażenia miejsca pracy</c:v>
                </c:pt>
                <c:pt idx="5">
                  <c:v>Roboty publiczne</c:v>
                </c:pt>
                <c:pt idx="6">
                  <c:v>Prace interwencyjne</c:v>
                </c:pt>
                <c:pt idx="7">
                  <c:v>Bon na zasiedlenie</c:v>
                </c:pt>
                <c:pt idx="8">
                  <c:v>Szkolenia</c:v>
                </c:pt>
              </c:strCache>
            </c:strRef>
          </c:cat>
          <c:val>
            <c:numRef>
              <c:f>S.24!$C$37:$C$45</c:f>
              <c:numCache>
                <c:formatCode>#,##0.00</c:formatCode>
                <c:ptCount val="9"/>
                <c:pt idx="0">
                  <c:v>262069.67143000002</c:v>
                </c:pt>
                <c:pt idx="1">
                  <c:v>251704.30836000002</c:v>
                </c:pt>
                <c:pt idx="2">
                  <c:v>67173.105859999996</c:v>
                </c:pt>
                <c:pt idx="3">
                  <c:v>63422.597880000001</c:v>
                </c:pt>
                <c:pt idx="4">
                  <c:v>54417.095179999989</c:v>
                </c:pt>
                <c:pt idx="5">
                  <c:v>29865.348730000005</c:v>
                </c:pt>
                <c:pt idx="6">
                  <c:v>29841.221140000001</c:v>
                </c:pt>
                <c:pt idx="7">
                  <c:v>10365.363069999999</c:v>
                </c:pt>
                <c:pt idx="8">
                  <c:v>6984.9395700000023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A-1ED7-4BAC-8053-7A7471619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09337344"/>
        <c:axId val="209359616"/>
        <c:axId val="0"/>
      </c:bar3DChart>
      <c:catAx>
        <c:axId val="2093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bg1">
                <a:lumMod val="85000"/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44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359616"/>
        <c:crosses val="autoZero"/>
        <c:auto val="0"/>
        <c:lblAlgn val="ctr"/>
        <c:lblOffset val="100"/>
        <c:noMultiLvlLbl val="0"/>
      </c:catAx>
      <c:valAx>
        <c:axId val="209359616"/>
        <c:scaling>
          <c:orientation val="minMax"/>
          <c:max val="25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0000FF">
                <a:alpha val="42000"/>
              </a:srgbClr>
            </a:solidFill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337344"/>
        <c:crosses val="autoZero"/>
        <c:crossBetween val="between"/>
        <c:majorUnit val="35000"/>
        <c:minorUnit val="8000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pl-PL" sz="800">
                <a:latin typeface="Times New Roman" panose="02020603050405020304" pitchFamily="18" charset="0"/>
                <a:cs typeface="Times New Roman" panose="02020603050405020304" pitchFamily="18" charset="0"/>
              </a:rPr>
              <a:t>Efektywność kosztowa   (koszt ponownego zatrudnienia)</a:t>
            </a:r>
            <a:endParaRPr lang="en-US" sz="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37904862811541135"/>
          <c:y val="5.6144402673489267E-2"/>
        </c:manualLayout>
      </c:layout>
      <c:overlay val="0"/>
    </c:title>
    <c:autoTitleDeleted val="0"/>
    <c:view3D>
      <c:rotX val="15"/>
      <c:rotY val="20"/>
      <c:rAngAx val="0"/>
      <c:perspective val="20"/>
    </c:view3D>
    <c:floor>
      <c:thickness val="0"/>
      <c:spPr>
        <a:solidFill>
          <a:schemeClr val="tx2">
            <a:lumMod val="20000"/>
            <a:lumOff val="80000"/>
            <a:alpha val="53000"/>
          </a:scheme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7660758881629158E-2"/>
          <c:y val="4.4739333771069478E-2"/>
          <c:w val="0.92608588820014515"/>
          <c:h val="0.798980122480757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S.24!$C$13</c:f>
              <c:strCache>
                <c:ptCount val="1"/>
                <c:pt idx="0">
                  <c:v>Efektywność kosztowa (w proc.)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505-4320-A531-022723CF7E2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505-4320-A531-022723CF7E2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505-4320-A531-022723CF7E2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505-4320-A531-022723CF7E2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505-4320-A531-022723CF7E2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505-4320-A531-022723CF7E2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505-4320-A531-022723CF7E2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505-4320-A531-022723CF7E23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505-4320-A531-022723CF7E23}"/>
              </c:ext>
            </c:extLst>
          </c:dPt>
          <c:dLbls>
            <c:dLbl>
              <c:idx val="0"/>
              <c:layout>
                <c:manualLayout>
                  <c:x val="-4.9536705747293009E-4"/>
                  <c:y val="0.403431559228365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05-4320-A531-022723CF7E23}"/>
                </c:ext>
              </c:extLst>
            </c:dLbl>
            <c:dLbl>
              <c:idx val="1"/>
              <c:layout>
                <c:manualLayout>
                  <c:x val="1.8988235741960733E-3"/>
                  <c:y val="0.411836077831658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05-4320-A531-022723CF7E23}"/>
                </c:ext>
              </c:extLst>
            </c:dLbl>
            <c:dLbl>
              <c:idx val="2"/>
              <c:layout>
                <c:manualLayout>
                  <c:x val="3.2126231614068492E-3"/>
                  <c:y val="0.298196595635516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05-4320-A531-022723CF7E23}"/>
                </c:ext>
              </c:extLst>
            </c:dLbl>
            <c:dLbl>
              <c:idx val="3"/>
              <c:layout>
                <c:manualLayout>
                  <c:x val="-1.0184492924114842E-3"/>
                  <c:y val="0.295533300388084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05-4320-A531-022723CF7E23}"/>
                </c:ext>
              </c:extLst>
            </c:dLbl>
            <c:dLbl>
              <c:idx val="4"/>
              <c:layout>
                <c:manualLayout>
                  <c:x val="1.2553639720724508E-3"/>
                  <c:y val="0.271736904014978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05-4320-A531-022723CF7E23}"/>
                </c:ext>
              </c:extLst>
            </c:dLbl>
            <c:dLbl>
              <c:idx val="5"/>
              <c:layout>
                <c:manualLayout>
                  <c:x val="9.1077867203722077E-3"/>
                  <c:y val="0.24671042422731726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12 </a:t>
                    </a:r>
                    <a:r>
                      <a:rPr lang="en-US"/>
                      <a:t>296,1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D505-4320-A531-022723CF7E23}"/>
                </c:ext>
              </c:extLst>
            </c:dLbl>
            <c:dLbl>
              <c:idx val="6"/>
              <c:layout>
                <c:manualLayout>
                  <c:x val="6.3697036783464554E-3"/>
                  <c:y val="0.1986637260692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505-4320-A531-022723CF7E23}"/>
                </c:ext>
              </c:extLst>
            </c:dLbl>
            <c:dLbl>
              <c:idx val="7"/>
              <c:layout>
                <c:manualLayout>
                  <c:x val="6.3467155746900978E-3"/>
                  <c:y val="0.193331608064389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505-4320-A531-022723CF7E23}"/>
                </c:ext>
              </c:extLst>
            </c:dLbl>
            <c:dLbl>
              <c:idx val="8"/>
              <c:layout>
                <c:manualLayout>
                  <c:x val="4.2311437164600655E-3"/>
                  <c:y val="0.153277900740551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505-4320-A531-022723CF7E23}"/>
                </c:ext>
              </c:extLst>
            </c:dLbl>
            <c:spPr>
              <a:solidFill>
                <a:schemeClr val="bg1"/>
              </a:solidFill>
            </c:spPr>
            <c:txPr>
              <a:bodyPr rot="-5400000" vert="horz"/>
              <a:lstStyle/>
              <a:p>
                <a:pPr>
                  <a:defRPr sz="105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S.24!$B$14:$B$22</c:f>
              <c:strCache>
                <c:ptCount val="9"/>
                <c:pt idx="0">
                  <c:v>Dofinansowanie działalności gospodarczej</c:v>
                </c:pt>
                <c:pt idx="1">
                  <c:v>Refundacja kosztów wyposażenia lub doposażenia miejsca pracy</c:v>
                </c:pt>
                <c:pt idx="2">
                  <c:v>Roboty publiczne</c:v>
                </c:pt>
                <c:pt idx="3">
                  <c:v>Razem 6 form (do por.)</c:v>
                </c:pt>
                <c:pt idx="4">
                  <c:v>Razem 7 podstawowych form</c:v>
                </c:pt>
                <c:pt idx="5">
                  <c:v>Staże</c:v>
                </c:pt>
                <c:pt idx="6">
                  <c:v>Prace interwencyjne</c:v>
                </c:pt>
                <c:pt idx="7">
                  <c:v>Bon na zasiedlenie</c:v>
                </c:pt>
                <c:pt idx="8">
                  <c:v>Szkolenia</c:v>
                </c:pt>
              </c:strCache>
            </c:strRef>
          </c:cat>
          <c:val>
            <c:numRef>
              <c:f>S.24!$C$14:$C$22</c:f>
              <c:numCache>
                <c:formatCode>#\ ##0.0</c:formatCode>
                <c:ptCount val="9"/>
                <c:pt idx="0">
                  <c:v>30190.15993707865</c:v>
                </c:pt>
                <c:pt idx="1">
                  <c:v>29430.554451054621</c:v>
                </c:pt>
                <c:pt idx="2">
                  <c:v>19243.137068298973</c:v>
                </c:pt>
                <c:pt idx="3">
                  <c:v>19103.241375227688</c:v>
                </c:pt>
                <c:pt idx="4">
                  <c:v>18415.408012788983</c:v>
                </c:pt>
                <c:pt idx="5">
                  <c:v>16068.55786166709</c:v>
                </c:pt>
                <c:pt idx="6">
                  <c:v>10383.166715379262</c:v>
                </c:pt>
                <c:pt idx="7">
                  <c:v>9824.9886919431283</c:v>
                </c:pt>
                <c:pt idx="8">
                  <c:v>9581.5357613168762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10-D505-4320-A531-022723CF7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09727488"/>
        <c:axId val="209729024"/>
        <c:axId val="0"/>
      </c:bar3DChart>
      <c:catAx>
        <c:axId val="20972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bg1">
                <a:lumMod val="85000"/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pl-PL"/>
          </a:p>
        </c:txPr>
        <c:crossAx val="209729024"/>
        <c:crosses val="autoZero"/>
        <c:auto val="0"/>
        <c:lblAlgn val="ctr"/>
        <c:lblOffset val="100"/>
        <c:noMultiLvlLbl val="0"/>
      </c:catAx>
      <c:valAx>
        <c:axId val="209729024"/>
        <c:scaling>
          <c:orientation val="minMax"/>
          <c:max val="25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0000FF">
                <a:alpha val="42000"/>
              </a:srgbClr>
            </a:solidFill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727488"/>
        <c:crosses val="autoZero"/>
        <c:crossBetween val="between"/>
        <c:majorUnit val="5000"/>
        <c:minorUnit val="500"/>
      </c:valAx>
    </c:plotArea>
    <c:legend>
      <c:legendPos val="r"/>
      <c:layout>
        <c:manualLayout>
          <c:xMode val="edge"/>
          <c:yMode val="edge"/>
          <c:x val="2.120378035020631E-2"/>
          <c:y val="0.84921126733841468"/>
          <c:w val="0.95790298285432274"/>
          <c:h val="7.1722920717029223E-2"/>
        </c:manualLayout>
      </c:layout>
      <c:overlay val="0"/>
      <c:txPr>
        <a:bodyPr/>
        <a:lstStyle/>
        <a:p>
          <a:pPr>
            <a:defRPr sz="700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1"/>
    <c:view3D>
      <c:rotX val="50"/>
      <c:rotY val="179"/>
      <c:depthPercent val="21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1421744300051931E-2"/>
          <c:y val="2.8714596467670314E-2"/>
          <c:w val="0.96658363228373045"/>
          <c:h val="0.9603001074385431"/>
        </c:manualLayout>
      </c:layout>
      <c:pie3DChart>
        <c:varyColors val="1"/>
        <c:ser>
          <c:idx val="0"/>
          <c:order val="0"/>
          <c:tx>
            <c:strRef>
              <c:f>S.24!$D$36</c:f>
              <c:strCache>
                <c:ptCount val="1"/>
                <c:pt idx="0">
                  <c:v>proc.</c:v>
                </c:pt>
              </c:strCache>
            </c:strRef>
          </c:tx>
          <c:spPr>
            <a:ln w="3175">
              <a:noFill/>
            </a:ln>
            <a:effectLst>
              <a:outerShdw blurRad="40000" dist="23000" dir="5400000" rotWithShape="0">
                <a:schemeClr val="bg2">
                  <a:lumMod val="25000"/>
                  <a:alpha val="35000"/>
                </a:scheme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 prstMaterial="dkEdge">
              <a:bevelT w="114300" h="114300" prst="convex"/>
              <a:bevelB w="57150" h="57150" prst="convex"/>
            </a:sp3d>
          </c:spPr>
          <c:dPt>
            <c:idx val="0"/>
            <c:bubble3D val="0"/>
            <c:explosion val="3"/>
            <c:spPr>
              <a:solidFill>
                <a:srgbClr val="66FF33"/>
              </a:solidFill>
              <a:ln w="3175">
                <a:noFill/>
              </a:ln>
              <a:effectLst>
                <a:outerShdw blurRad="40000" dist="23000" dir="5400000" rotWithShape="0">
                  <a:schemeClr val="bg2">
                    <a:lumMod val="25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dkEdge">
                <a:bevelT w="114300" h="114300" prst="convex"/>
                <a:bevelB w="57150" h="57150" prst="convex"/>
              </a:sp3d>
            </c:spPr>
            <c:extLst>
              <c:ext xmlns:c16="http://schemas.microsoft.com/office/drawing/2014/chart" uri="{C3380CC4-5D6E-409C-BE32-E72D297353CC}">
                <c16:uniqueId val="{00000001-E95A-40D4-8333-2CA5417FF3AC}"/>
              </c:ext>
            </c:extLst>
          </c:dPt>
          <c:dPt>
            <c:idx val="1"/>
            <c:bubble3D val="0"/>
            <c:explosion val="3"/>
            <c:spPr>
              <a:gradFill>
                <a:gsLst>
                  <a:gs pos="11000">
                    <a:srgbClr val="5FBDBB"/>
                  </a:gs>
                  <a:gs pos="99000">
                    <a:srgbClr val="00FFFF"/>
                  </a:gs>
                </a:gsLst>
                <a:lin ang="0" scaled="1"/>
              </a:gradFill>
              <a:ln w="3175">
                <a:noFill/>
              </a:ln>
              <a:effectLst>
                <a:outerShdw blurRad="40000" dist="23000" dir="5400000" rotWithShape="0">
                  <a:schemeClr val="bg2">
                    <a:lumMod val="25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dkEdge">
                <a:bevelT w="114300" h="114300" prst="convex"/>
                <a:bevelB w="57150" h="57150" prst="convex"/>
              </a:sp3d>
            </c:spPr>
            <c:extLst>
              <c:ext xmlns:c16="http://schemas.microsoft.com/office/drawing/2014/chart" uri="{C3380CC4-5D6E-409C-BE32-E72D297353CC}">
                <c16:uniqueId val="{00000003-E95A-40D4-8333-2CA5417FF3AC}"/>
              </c:ext>
            </c:extLst>
          </c:dPt>
          <c:dPt>
            <c:idx val="2"/>
            <c:bubble3D val="0"/>
            <c:explosion val="2"/>
            <c:spPr>
              <a:gradFill flip="none" rotWithShape="1">
                <a:gsLst>
                  <a:gs pos="89000">
                    <a:schemeClr val="accent1">
                      <a:lumMod val="20000"/>
                      <a:lumOff val="80000"/>
                    </a:schemeClr>
                  </a:gs>
                  <a:gs pos="100000">
                    <a:schemeClr val="accent1">
                      <a:lumMod val="20000"/>
                      <a:lumOff val="80000"/>
                    </a:schemeClr>
                  </a:gs>
                  <a:gs pos="0">
                    <a:schemeClr val="accent1">
                      <a:lumMod val="60000"/>
                      <a:lumOff val="40000"/>
                    </a:schemeClr>
                  </a:gs>
                </a:gsLst>
                <a:lin ang="0" scaled="1"/>
                <a:tileRect/>
              </a:gradFill>
              <a:ln w="3175">
                <a:noFill/>
              </a:ln>
              <a:effectLst>
                <a:outerShdw blurRad="40000" dist="23000" dir="5400000" rotWithShape="0">
                  <a:schemeClr val="bg2">
                    <a:lumMod val="25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dkEdge">
                <a:bevelT w="114300" h="114300" prst="convex"/>
                <a:bevelB w="57150" h="57150" prst="convex"/>
              </a:sp3d>
            </c:spPr>
            <c:extLst>
              <c:ext xmlns:c16="http://schemas.microsoft.com/office/drawing/2014/chart" uri="{C3380CC4-5D6E-409C-BE32-E72D297353CC}">
                <c16:uniqueId val="{00000005-E95A-40D4-8333-2CA5417FF3AC}"/>
              </c:ext>
            </c:extLst>
          </c:dPt>
          <c:dPt>
            <c:idx val="3"/>
            <c:bubble3D val="0"/>
            <c:explosion val="3"/>
            <c:spPr>
              <a:solidFill>
                <a:schemeClr val="tx2">
                  <a:lumMod val="40000"/>
                  <a:lumOff val="60000"/>
                </a:schemeClr>
              </a:solidFill>
              <a:ln w="3175">
                <a:noFill/>
              </a:ln>
              <a:effectLst>
                <a:outerShdw blurRad="40000" dist="23000" dir="5400000" rotWithShape="0">
                  <a:schemeClr val="bg2">
                    <a:lumMod val="25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dkEdge">
                <a:bevelT w="114300" h="114300" prst="convex"/>
                <a:bevelB w="57150" h="57150" prst="convex"/>
              </a:sp3d>
            </c:spPr>
            <c:extLst>
              <c:ext xmlns:c16="http://schemas.microsoft.com/office/drawing/2014/chart" uri="{C3380CC4-5D6E-409C-BE32-E72D297353CC}">
                <c16:uniqueId val="{00000007-E95A-40D4-8333-2CA5417FF3AC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 w="3175">
                <a:noFill/>
              </a:ln>
              <a:effectLst>
                <a:outerShdw blurRad="40000" dist="23000" dir="5400000" rotWithShape="0">
                  <a:schemeClr val="bg2">
                    <a:lumMod val="25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dkEdge">
                <a:bevelT w="114300" h="114300" prst="convex"/>
                <a:bevelB w="57150" h="57150" prst="convex"/>
              </a:sp3d>
            </c:spPr>
            <c:extLst>
              <c:ext xmlns:c16="http://schemas.microsoft.com/office/drawing/2014/chart" uri="{C3380CC4-5D6E-409C-BE32-E72D297353CC}">
                <c16:uniqueId val="{00000009-E95A-40D4-8333-2CA5417FF3AC}"/>
              </c:ext>
            </c:extLst>
          </c:dPt>
          <c:dPt>
            <c:idx val="5"/>
            <c:bubble3D val="0"/>
            <c:explosion val="6"/>
            <c:spPr>
              <a:gradFill>
                <a:gsLst>
                  <a:gs pos="45000">
                    <a:srgbClr val="0000FF">
                      <a:lumMod val="72000"/>
                      <a:lumOff val="28000"/>
                    </a:srgbClr>
                  </a:gs>
                  <a:gs pos="0">
                    <a:schemeClr val="bg1"/>
                  </a:gs>
                  <a:gs pos="100000">
                    <a:srgbClr val="0000FF">
                      <a:lumMod val="87000"/>
                      <a:lumOff val="13000"/>
                    </a:srgbClr>
                  </a:gs>
                </a:gsLst>
                <a:lin ang="5400000" scaled="0"/>
              </a:gradFill>
              <a:ln w="6350">
                <a:solidFill>
                  <a:schemeClr val="bg1"/>
                </a:solidFill>
              </a:ln>
              <a:effectLst>
                <a:outerShdw blurRad="40000" dist="23000" dir="5400000" rotWithShape="0">
                  <a:schemeClr val="bg2">
                    <a:lumMod val="25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dkEdge">
                <a:bevelT w="114300" h="114300" prst="convex"/>
                <a:bevelB w="57150" h="57150" prst="convex"/>
              </a:sp3d>
            </c:spPr>
            <c:extLst>
              <c:ext xmlns:c16="http://schemas.microsoft.com/office/drawing/2014/chart" uri="{C3380CC4-5D6E-409C-BE32-E72D297353CC}">
                <c16:uniqueId val="{0000000B-E95A-40D4-8333-2CA5417FF3AC}"/>
              </c:ext>
            </c:extLst>
          </c:dPt>
          <c:dPt>
            <c:idx val="6"/>
            <c:bubble3D val="0"/>
            <c:spPr>
              <a:solidFill>
                <a:schemeClr val="bg1"/>
              </a:solidFill>
              <a:ln w="12700">
                <a:solidFill>
                  <a:schemeClr val="bg1"/>
                </a:solidFill>
              </a:ln>
              <a:effectLst>
                <a:outerShdw blurRad="40000" dist="23000" dir="5400000" rotWithShape="0">
                  <a:schemeClr val="bg2">
                    <a:lumMod val="25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dkEdge">
                <a:bevelT w="114300" h="114300" prst="convex"/>
                <a:bevelB w="57150" h="57150" prst="convex"/>
              </a:sp3d>
            </c:spPr>
            <c:extLst>
              <c:ext xmlns:c16="http://schemas.microsoft.com/office/drawing/2014/chart" uri="{C3380CC4-5D6E-409C-BE32-E72D297353CC}">
                <c16:uniqueId val="{0000000E-E95A-40D4-8333-2CA5417FF3AC}"/>
              </c:ext>
            </c:extLst>
          </c:dPt>
          <c:dLbls>
            <c:dLbl>
              <c:idx val="0"/>
              <c:layout>
                <c:manualLayout>
                  <c:x val="0.21892218183385467"/>
                  <c:y val="-0.16354539230158821"/>
                </c:manualLayout>
              </c:layout>
              <c:tx>
                <c:rich>
                  <a:bodyPr/>
                  <a:lstStyle/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staże</a:t>
                    </a:r>
                  </a:p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25,2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95A-40D4-8333-2CA5417FF3AC}"/>
                </c:ext>
              </c:extLst>
            </c:dLbl>
            <c:dLbl>
              <c:idx val="1"/>
              <c:layout>
                <c:manualLayout>
                  <c:x val="0.19842130448966044"/>
                  <c:y val="0.13578121940391538"/>
                </c:manualLayout>
              </c:layout>
              <c:tx>
                <c:rich>
                  <a:bodyPr/>
                  <a:lstStyle/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dofinansowanie</a:t>
                    </a:r>
                  </a:p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działalności</a:t>
                    </a:r>
                  </a:p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gospodarczej</a:t>
                    </a:r>
                  </a:p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26,7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95A-40D4-8333-2CA5417FF3AC}"/>
                </c:ext>
              </c:extLst>
            </c:dLbl>
            <c:dLbl>
              <c:idx val="2"/>
              <c:layout>
                <c:manualLayout>
                  <c:x val="-0.18288727837824148"/>
                  <c:y val="0.10577332132251896"/>
                </c:manualLayout>
              </c:layout>
              <c:tx>
                <c:rich>
                  <a:bodyPr/>
                  <a:lstStyle/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refundacja</a:t>
                    </a:r>
                  </a:p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kosztów</a:t>
                    </a:r>
                  </a:p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21,6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95A-40D4-8333-2CA5417FF3AC}"/>
                </c:ext>
              </c:extLst>
            </c:dLbl>
            <c:dLbl>
              <c:idx val="3"/>
              <c:layout>
                <c:manualLayout>
                  <c:x val="-0.15204065455541527"/>
                  <c:y val="-0.14873760768262423"/>
                </c:manualLayout>
              </c:layout>
              <c:tx>
                <c:rich>
                  <a:bodyPr/>
                  <a:lstStyle/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prace</a:t>
                    </a:r>
                  </a:p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interwencyjne</a:t>
                    </a:r>
                  </a:p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11,9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95A-40D4-8333-2CA5417FF3AC}"/>
                </c:ext>
              </c:extLst>
            </c:dLbl>
            <c:dLbl>
              <c:idx val="4"/>
              <c:layout>
                <c:manualLayout>
                  <c:x val="-0.14158324211760542"/>
                  <c:y val="-0.26102349762859506"/>
                </c:manualLayout>
              </c:layout>
              <c:tx>
                <c:rich>
                  <a:bodyPr/>
                  <a:lstStyle/>
                  <a:p>
                    <a:pPr>
                      <a:defRPr sz="1200" b="0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 sz="1050" b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roboty</a:t>
                    </a:r>
                  </a:p>
                  <a:p>
                    <a:pPr>
                      <a:defRPr sz="1200" b="0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 sz="1050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publiczne</a:t>
                    </a:r>
                    <a:endParaRPr lang="en-US" sz="1050" b="0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  <a:p>
                    <a:pPr>
                      <a:defRPr sz="1200" b="0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 sz="1050" b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11,9 proc.</a:t>
                    </a:r>
                  </a:p>
                </c:rich>
              </c:tx>
              <c:numFmt formatCode="#,##0.0" sourceLinked="0"/>
              <c:spPr>
                <a:noFill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95A-40D4-8333-2CA5417FF3AC}"/>
                </c:ext>
              </c:extLst>
            </c:dLbl>
            <c:dLbl>
              <c:idx val="5"/>
              <c:layout>
                <c:manualLayout>
                  <c:x val="9.7979627718482995E-2"/>
                  <c:y val="-2.5875796667859555E-2"/>
                </c:manualLayout>
              </c:layout>
              <c:tx>
                <c:rich>
                  <a:bodyPr/>
                  <a:lstStyle/>
                  <a:p>
                    <a:r>
                      <a:rPr lang="en-US" sz="1050"/>
                      <a:t>szkolenia</a:t>
                    </a:r>
                  </a:p>
                  <a:p>
                    <a:r>
                      <a:rPr lang="en-US" sz="1050"/>
                      <a:t>2,8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E95A-40D4-8333-2CA5417FF3AC}"/>
                </c:ext>
              </c:extLst>
            </c:dLbl>
            <c:dLbl>
              <c:idx val="6"/>
              <c:layout>
                <c:manualLayout>
                  <c:x val="-0.23202851011939085"/>
                  <c:y val="-1.02344290281737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szkolenia</a:t>
                    </a:r>
                  </a:p>
                  <a:p>
                    <a:fld id="{50252684-227D-4311-A8E5-4912ADE24245}" type="VALUE">
                      <a:rPr lang="en-US"/>
                      <a:pPr/>
                      <a:t>[WARTOŚĆ]</a:t>
                    </a:fld>
                    <a:r>
                      <a:rPr lang="en-US"/>
                      <a:t>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925643037424259"/>
                      <c:h val="0.1116255683659458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E95A-40D4-8333-2CA5417FF3A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(S.24!$B$39:$B$43,S.24!$B$45)</c:f>
              <c:strCache>
                <c:ptCount val="6"/>
                <c:pt idx="0">
                  <c:v>Dofinansowanie działalności gospodarczej</c:v>
                </c:pt>
                <c:pt idx="1">
                  <c:v>Staże</c:v>
                </c:pt>
                <c:pt idx="2">
                  <c:v>Refundacja kosztów wyposażenia lub doposażenia miejsca pracy</c:v>
                </c:pt>
                <c:pt idx="3">
                  <c:v>Roboty publiczne</c:v>
                </c:pt>
                <c:pt idx="4">
                  <c:v>Prace interwencyjne</c:v>
                </c:pt>
                <c:pt idx="5">
                  <c:v>Szkolenia</c:v>
                </c:pt>
              </c:strCache>
            </c:strRef>
          </c:cat>
          <c:val>
            <c:numRef>
              <c:f>(S.24!$D$39:$D$43,S.24!$D$45)</c:f>
              <c:numCache>
                <c:formatCode>0.0</c:formatCode>
                <c:ptCount val="6"/>
                <c:pt idx="0">
                  <c:v>26.687308730498842</c:v>
                </c:pt>
                <c:pt idx="1">
                  <c:v>25.197263524504258</c:v>
                </c:pt>
                <c:pt idx="2">
                  <c:v>21.619453212604515</c:v>
                </c:pt>
                <c:pt idx="3">
                  <c:v>11.865251304036125</c:v>
                </c:pt>
                <c:pt idx="4">
                  <c:v>11.855665615909764</c:v>
                </c:pt>
                <c:pt idx="5">
                  <c:v>2.7750576124465045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95A-40D4-8333-2CA5417FF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 w="3175">
      <a:noFill/>
    </a:ln>
    <a:effectLst>
      <a:innerShdw blurRad="63500" dist="50800" dir="11340000">
        <a:schemeClr val="accent4">
          <a:lumMod val="60000"/>
          <a:lumOff val="40000"/>
          <a:alpha val="50000"/>
        </a:schemeClr>
      </a:innerShdw>
    </a:effectLst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chemeClr val="accent1">
            <a:lumMod val="40000"/>
            <a:lumOff val="60000"/>
            <a:alpha val="37647"/>
          </a:schemeClr>
        </a:solidFill>
        <a:ln w="1270">
          <a:solidFill>
            <a:schemeClr val="accent1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266910331809457"/>
          <c:y val="5.8651056775797759E-2"/>
          <c:w val="0.86123432957626211"/>
          <c:h val="0.8590518834251258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W!$C$2</c:f>
              <c:strCache>
                <c:ptCount val="1"/>
                <c:pt idx="0">
                  <c:v>Bezrobotni rozpoczynający aktywne formy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3175"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-3.6287425301084505E-3"/>
                  <c:y val="0.139189282164972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E3-490C-8A13-DCD1050BFC83}"/>
                </c:ext>
              </c:extLst>
            </c:dLbl>
            <c:dLbl>
              <c:idx val="1"/>
              <c:layout>
                <c:manualLayout>
                  <c:x val="-1.5739298279385547E-3"/>
                  <c:y val="0.170952526565247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E3-490C-8A13-DCD1050BFC83}"/>
                </c:ext>
              </c:extLst>
            </c:dLbl>
            <c:dLbl>
              <c:idx val="2"/>
              <c:layout>
                <c:manualLayout>
                  <c:x val="9.7044268619712339E-4"/>
                  <c:y val="0.15906753588029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E3-490C-8A13-DCD1050BFC83}"/>
                </c:ext>
              </c:extLst>
            </c:dLbl>
            <c:dLbl>
              <c:idx val="3"/>
              <c:layout>
                <c:manualLayout>
                  <c:x val="2.3715489250018705E-3"/>
                  <c:y val="0.157212751318706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E3-490C-8A13-DCD1050BFC83}"/>
                </c:ext>
              </c:extLst>
            </c:dLbl>
            <c:dLbl>
              <c:idx val="4"/>
              <c:layout>
                <c:manualLayout>
                  <c:x val="3.9059372473681103E-3"/>
                  <c:y val="0.160880700609735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E3-490C-8A13-DCD1050BFC83}"/>
                </c:ext>
              </c:extLst>
            </c:dLbl>
            <c:dLbl>
              <c:idx val="5"/>
              <c:layout>
                <c:manualLayout>
                  <c:x val="3.8969010768383407E-3"/>
                  <c:y val="0.155935771433103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E3-490C-8A13-DCD1050BFC83}"/>
                </c:ext>
              </c:extLst>
            </c:dLbl>
            <c:dLbl>
              <c:idx val="6"/>
              <c:layout>
                <c:manualLayout>
                  <c:x val="5.7129612098214483E-3"/>
                  <c:y val="0.147792390836128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E3-490C-8A13-DCD1050BFC83}"/>
                </c:ext>
              </c:extLst>
            </c:dLbl>
            <c:dLbl>
              <c:idx val="7"/>
              <c:layout>
                <c:manualLayout>
                  <c:x val="1.7918178764781782E-3"/>
                  <c:y val="0.149754790197375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E3-490C-8A13-DCD1050BFC83}"/>
                </c:ext>
              </c:extLst>
            </c:dLbl>
            <c:dLbl>
              <c:idx val="8"/>
              <c:layout>
                <c:manualLayout>
                  <c:x val="4.264743087015241E-3"/>
                  <c:y val="0.152808271538873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2E3-490C-8A13-DCD1050BFC83}"/>
                </c:ext>
              </c:extLst>
            </c:dLbl>
            <c:dLbl>
              <c:idx val="9"/>
              <c:layout>
                <c:manualLayout>
                  <c:x val="6.2718828343232991E-3"/>
                  <c:y val="0.152559819585658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E3-490C-8A13-DCD1050BFC83}"/>
                </c:ext>
              </c:extLst>
            </c:dLbl>
            <c:dLbl>
              <c:idx val="10"/>
              <c:layout>
                <c:manualLayout>
                  <c:x val="7.8635094409605661E-3"/>
                  <c:y val="0.149331855362739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2E3-490C-8A13-DCD1050BFC83}"/>
                </c:ext>
              </c:extLst>
            </c:dLbl>
            <c:dLbl>
              <c:idx val="11"/>
              <c:layout>
                <c:manualLayout>
                  <c:x val="1.2182654383391949E-2"/>
                  <c:y val="-6.60513874934772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2E3-490C-8A13-DCD1050BFC83}"/>
                </c:ext>
              </c:extLst>
            </c:dLbl>
            <c:dLbl>
              <c:idx val="12"/>
              <c:layout>
                <c:manualLayout>
                  <c:x val="1.4619667186197637E-2"/>
                  <c:y val="7.12508859241259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2E3-490C-8A13-DCD1050BFC83}"/>
                </c:ext>
              </c:extLst>
            </c:dLbl>
            <c:dLbl>
              <c:idx val="13"/>
              <c:layout>
                <c:manualLayout>
                  <c:x val="3.2634031436079916E-3"/>
                  <c:y val="-0.3267917516334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2E3-490C-8A13-DCD1050BFC83}"/>
                </c:ext>
              </c:extLst>
            </c:dLbl>
            <c:dLbl>
              <c:idx val="14"/>
              <c:layout>
                <c:manualLayout>
                  <c:x val="0"/>
                  <c:y val="-0.337674123512444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2E3-490C-8A13-DCD1050BFC83}"/>
                </c:ext>
              </c:extLst>
            </c:dLbl>
            <c:dLbl>
              <c:idx val="15"/>
              <c:layout>
                <c:manualLayout>
                  <c:x val="-3.035229212384315E-3"/>
                  <c:y val="-0.378885805090903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2E3-490C-8A13-DCD1050BFC83}"/>
                </c:ext>
              </c:extLst>
            </c:dLbl>
            <c:dLbl>
              <c:idx val="16"/>
              <c:layout>
                <c:manualLayout>
                  <c:x val="0"/>
                  <c:y val="-0.37258384202484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2E3-490C-8A13-DCD1050BFC83}"/>
                </c:ext>
              </c:extLst>
            </c:dLbl>
            <c:dLbl>
              <c:idx val="17"/>
              <c:layout>
                <c:manualLayout>
                  <c:x val="-3.035229212384315E-3"/>
                  <c:y val="-0.387828030845188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2E3-490C-8A13-DCD1050BFC83}"/>
                </c:ext>
              </c:extLst>
            </c:dLbl>
            <c:dLbl>
              <c:idx val="18"/>
              <c:layout>
                <c:manualLayout>
                  <c:x val="0"/>
                  <c:y val="-0.398690816251367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2E3-490C-8A13-DCD1050BFC83}"/>
                </c:ext>
              </c:extLst>
            </c:dLbl>
            <c:dLbl>
              <c:idx val="19"/>
              <c:layout>
                <c:manualLayout>
                  <c:x val="0"/>
                  <c:y val="-0.411834012827609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2E3-490C-8A13-DCD1050BFC83}"/>
                </c:ext>
              </c:extLst>
            </c:dLbl>
            <c:dLbl>
              <c:idx val="20"/>
              <c:layout>
                <c:manualLayout>
                  <c:x val="0"/>
                  <c:y val="-0.429448491225367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2E3-490C-8A13-DCD1050BFC83}"/>
                </c:ext>
              </c:extLst>
            </c:dLbl>
            <c:dLbl>
              <c:idx val="21"/>
              <c:layout>
                <c:manualLayout>
                  <c:x val="0"/>
                  <c:y val="-0.44670311810495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2E3-490C-8A13-DCD1050BFC83}"/>
                </c:ext>
              </c:extLst>
            </c:dLbl>
            <c:dLbl>
              <c:idx val="22"/>
              <c:layout>
                <c:manualLayout>
                  <c:x val="0"/>
                  <c:y val="-0.448983529275019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2E3-490C-8A13-DCD1050BFC83}"/>
                </c:ext>
              </c:extLst>
            </c:dLbl>
            <c:dLbl>
              <c:idx val="23"/>
              <c:layout>
                <c:manualLayout>
                  <c:x val="-3.035229212384315E-3"/>
                  <c:y val="-0.460116287792012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2E3-490C-8A13-DCD1050BFC83}"/>
                </c:ext>
              </c:extLst>
            </c:dLbl>
            <c:dLbl>
              <c:idx val="24"/>
              <c:layout>
                <c:manualLayout>
                  <c:x val="0"/>
                  <c:y val="-0.477281036264248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2E3-490C-8A13-DCD1050BFC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W!$B$3:$B$13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 formatCode="General">
                  <c:v>2021</c:v>
                </c:pt>
                <c:pt idx="7" formatCode="General">
                  <c:v>2022</c:v>
                </c:pt>
                <c:pt idx="8" formatCode="General">
                  <c:v>2023</c:v>
                </c:pt>
                <c:pt idx="9" formatCode="General">
                  <c:v>2024</c:v>
                </c:pt>
                <c:pt idx="10" formatCode="General">
                  <c:v>2025</c:v>
                </c:pt>
              </c:numCache>
            </c:numRef>
          </c:cat>
          <c:val>
            <c:numRef>
              <c:f>W!$C$3:$C$13</c:f>
              <c:numCache>
                <c:formatCode>#,##0</c:formatCode>
                <c:ptCount val="11"/>
                <c:pt idx="0">
                  <c:v>36658</c:v>
                </c:pt>
                <c:pt idx="1">
                  <c:v>35772</c:v>
                </c:pt>
                <c:pt idx="2">
                  <c:v>31163</c:v>
                </c:pt>
                <c:pt idx="3">
                  <c:v>26667</c:v>
                </c:pt>
                <c:pt idx="4">
                  <c:v>22309</c:v>
                </c:pt>
                <c:pt idx="5">
                  <c:v>18849</c:v>
                </c:pt>
                <c:pt idx="6">
                  <c:v>22945</c:v>
                </c:pt>
                <c:pt idx="7">
                  <c:v>24415</c:v>
                </c:pt>
                <c:pt idx="8">
                  <c:v>20427</c:v>
                </c:pt>
                <c:pt idx="9">
                  <c:v>17066</c:v>
                </c:pt>
                <c:pt idx="10">
                  <c:v>16096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19-62E3-490C-8A13-DCD1050BFC83}"/>
            </c:ext>
          </c:extLst>
        </c:ser>
        <c:ser>
          <c:idx val="2"/>
          <c:order val="1"/>
          <c:tx>
            <c:strRef>
              <c:f>W!$E$2</c:f>
              <c:strCache>
                <c:ptCount val="1"/>
                <c:pt idx="0">
                  <c:v>Bezrobotni zatrudnieni po zakończeniu form aktywnych</c:v>
                </c:pt>
              </c:strCache>
            </c:strRef>
          </c:tx>
          <c:spPr>
            <a:solidFill>
              <a:srgbClr val="B1B100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8.0948316196651666E-3"/>
                  <c:y val="3.217643911015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2E3-490C-8A13-DCD1050BFC83}"/>
                </c:ext>
              </c:extLst>
            </c:dLbl>
            <c:dLbl>
              <c:idx val="1"/>
              <c:layout>
                <c:manualLayout>
                  <c:x val="4.6956054745165062E-3"/>
                  <c:y val="4.6418087302194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2E3-490C-8A13-DCD1050BFC83}"/>
                </c:ext>
              </c:extLst>
            </c:dLbl>
            <c:dLbl>
              <c:idx val="2"/>
              <c:layout>
                <c:manualLayout>
                  <c:x val="9.1799330808954478E-3"/>
                  <c:y val="2.5105114287898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2E3-490C-8A13-DCD1050BFC83}"/>
                </c:ext>
              </c:extLst>
            </c:dLbl>
            <c:dLbl>
              <c:idx val="3"/>
              <c:layout>
                <c:manualLayout>
                  <c:x val="1.0619511854223327E-2"/>
                  <c:y val="4.2954667074382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2E3-490C-8A13-DCD1050BFC83}"/>
                </c:ext>
              </c:extLst>
            </c:dLbl>
            <c:dLbl>
              <c:idx val="4"/>
              <c:layout>
                <c:manualLayout>
                  <c:x val="1.1173348795743238E-2"/>
                  <c:y val="3.6787325128048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2E3-490C-8A13-DCD1050BFC83}"/>
                </c:ext>
              </c:extLst>
            </c:dLbl>
            <c:dLbl>
              <c:idx val="5"/>
              <c:layout>
                <c:manualLayout>
                  <c:x val="1.1344718622121587E-2"/>
                  <c:y val="3.7679458756975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2E3-490C-8A13-DCD1050BFC83}"/>
                </c:ext>
              </c:extLst>
            </c:dLbl>
            <c:dLbl>
              <c:idx val="6"/>
              <c:layout>
                <c:manualLayout>
                  <c:x val="1.0675289835169742E-2"/>
                  <c:y val="9.15594117848497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D9-4671-B025-16594CD434EC}"/>
                </c:ext>
              </c:extLst>
            </c:dLbl>
            <c:dLbl>
              <c:idx val="7"/>
              <c:layout>
                <c:manualLayout>
                  <c:x val="1.3344112293962178E-2"/>
                  <c:y val="1.8311882356969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D9-4671-B025-16594CD434EC}"/>
                </c:ext>
              </c:extLst>
            </c:dLbl>
            <c:dLbl>
              <c:idx val="8"/>
              <c:layout>
                <c:manualLayout>
                  <c:x val="6.8800741675606849E-3"/>
                  <c:y val="3.883495145631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DB-4C79-AC08-22DA34B0B0E2}"/>
                </c:ext>
              </c:extLst>
            </c:dLbl>
            <c:dLbl>
              <c:idx val="9"/>
              <c:layout>
                <c:manualLayout>
                  <c:x val="9.1734322234142459E-3"/>
                  <c:y val="2.9126213592233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DB-4C79-AC08-22DA34B0B0E2}"/>
                </c:ext>
              </c:extLst>
            </c:dLbl>
            <c:dLbl>
              <c:idx val="10"/>
              <c:layout>
                <c:manualLayout>
                  <c:x val="1.376014833512137E-2"/>
                  <c:y val="3.8834951456310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DB-4C79-AC08-22DA34B0B0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W!$B$3:$B$13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 formatCode="General">
                  <c:v>2021</c:v>
                </c:pt>
                <c:pt idx="7" formatCode="General">
                  <c:v>2022</c:v>
                </c:pt>
                <c:pt idx="8" formatCode="General">
                  <c:v>2023</c:v>
                </c:pt>
                <c:pt idx="9" formatCode="General">
                  <c:v>2024</c:v>
                </c:pt>
                <c:pt idx="10" formatCode="General">
                  <c:v>2025</c:v>
                </c:pt>
              </c:numCache>
            </c:numRef>
          </c:cat>
          <c:val>
            <c:numRef>
              <c:f>W!$E$3:$E$13</c:f>
              <c:numCache>
                <c:formatCode>#,##0</c:formatCode>
                <c:ptCount val="11"/>
                <c:pt idx="0">
                  <c:v>20007</c:v>
                </c:pt>
                <c:pt idx="1">
                  <c:v>22811</c:v>
                </c:pt>
                <c:pt idx="2">
                  <c:v>21303</c:v>
                </c:pt>
                <c:pt idx="3">
                  <c:v>19586</c:v>
                </c:pt>
                <c:pt idx="4">
                  <c:v>16015</c:v>
                </c:pt>
                <c:pt idx="5">
                  <c:v>13499</c:v>
                </c:pt>
                <c:pt idx="6">
                  <c:v>14591</c:v>
                </c:pt>
                <c:pt idx="7">
                  <c:v>15697</c:v>
                </c:pt>
                <c:pt idx="8">
                  <c:v>14960</c:v>
                </c:pt>
                <c:pt idx="9">
                  <c:v>13176</c:v>
                </c:pt>
                <c:pt idx="10">
                  <c:v>11613</c:v>
                </c:pt>
              </c:numCache>
            </c:numRef>
          </c:val>
          <c:shape val="cone"/>
          <c:extLst>
            <c:ext xmlns:c16="http://schemas.microsoft.com/office/drawing/2014/chart" uri="{C3380CC4-5D6E-409C-BE32-E72D297353CC}">
              <c16:uniqueId val="{00000027-62E3-490C-8A13-DCD1050BF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96071168"/>
        <c:axId val="296072704"/>
        <c:axId val="0"/>
      </c:bar3DChart>
      <c:catAx>
        <c:axId val="2960711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solidFill>
            <a:srgbClr val="FFFFFF"/>
          </a:solidFill>
          <a:ln w="190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pl-PL"/>
          </a:p>
        </c:txPr>
        <c:crossAx val="296072704"/>
        <c:crosses val="autoZero"/>
        <c:auto val="0"/>
        <c:lblAlgn val="ctr"/>
        <c:lblOffset val="100"/>
        <c:noMultiLvlLbl val="0"/>
      </c:catAx>
      <c:valAx>
        <c:axId val="296072704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</c:majorGridlines>
        <c:minorGridlines>
          <c:spPr>
            <a:ln w="3175">
              <a:solidFill>
                <a:schemeClr val="accent1">
                  <a:lumMod val="20000"/>
                  <a:lumOff val="80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 w="3175">
            <a:solidFill>
              <a:srgbClr val="0000FF">
                <a:alpha val="42000"/>
              </a:srgbClr>
            </a:solidFill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pl-PL"/>
          </a:p>
        </c:txPr>
        <c:crossAx val="296071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8622780612057317"/>
          <c:y val="0.13127369227875887"/>
          <c:w val="0.5177122212651929"/>
          <c:h val="0.15336356955669597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chemeClr val="accent1">
            <a:lumMod val="20000"/>
            <a:lumOff val="80000"/>
            <a:alpha val="38000"/>
          </a:schemeClr>
        </a:solidFill>
        <a:ln w="1270">
          <a:solidFill>
            <a:schemeClr val="accent1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1580019374549787E-2"/>
          <c:y val="1.7826459811335463E-2"/>
          <c:w val="0.96780386587823997"/>
          <c:h val="0.9476505581584263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W!$C$2</c:f>
              <c:strCache>
                <c:ptCount val="1"/>
                <c:pt idx="0">
                  <c:v>Bezrobotni rozpoczynający aktywne formy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1.5194292099347019E-3"/>
                  <c:y val="0.112759714211007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96-4BF8-BBBD-88A1299EDE70}"/>
                </c:ext>
              </c:extLst>
            </c:dLbl>
            <c:dLbl>
              <c:idx val="1"/>
              <c:layout>
                <c:manualLayout>
                  <c:x val="-4.0639097571924599E-3"/>
                  <c:y val="0.136889083566685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96-4BF8-BBBD-88A1299EDE70}"/>
                </c:ext>
              </c:extLst>
            </c:dLbl>
            <c:dLbl>
              <c:idx val="2"/>
              <c:layout>
                <c:manualLayout>
                  <c:x val="-1.3433357603517722E-3"/>
                  <c:y val="0.204441484547325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96-4BF8-BBBD-88A1299EDE70}"/>
                </c:ext>
              </c:extLst>
            </c:dLbl>
            <c:dLbl>
              <c:idx val="3"/>
              <c:layout>
                <c:manualLayout>
                  <c:x val="2.2016666856121215E-3"/>
                  <c:y val="0.212611545535608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96-4BF8-BBBD-88A1299EDE70}"/>
                </c:ext>
              </c:extLst>
            </c:dLbl>
            <c:dLbl>
              <c:idx val="4"/>
              <c:layout>
                <c:manualLayout>
                  <c:x val="1.1570715679276992E-3"/>
                  <c:y val="0.19009392955395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96-4BF8-BBBD-88A1299EDE70}"/>
                </c:ext>
              </c:extLst>
            </c:dLbl>
            <c:dLbl>
              <c:idx val="5"/>
              <c:layout>
                <c:manualLayout>
                  <c:x val="1.3108292685261576E-3"/>
                  <c:y val="0.199866357665326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96-4BF8-BBBD-88A1299EDE70}"/>
                </c:ext>
              </c:extLst>
            </c:dLbl>
            <c:dLbl>
              <c:idx val="6"/>
              <c:layout>
                <c:manualLayout>
                  <c:x val="5.6597192516008449E-3"/>
                  <c:y val="0.196531109834779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96-4BF8-BBBD-88A1299EDE70}"/>
                </c:ext>
              </c:extLst>
            </c:dLbl>
            <c:dLbl>
              <c:idx val="7"/>
              <c:layout>
                <c:manualLayout>
                  <c:x val="4.4484037218537158E-3"/>
                  <c:y val="0.222182839698477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96-4BF8-BBBD-88A1299EDE70}"/>
                </c:ext>
              </c:extLst>
            </c:dLbl>
            <c:dLbl>
              <c:idx val="8"/>
              <c:layout>
                <c:manualLayout>
                  <c:x val="1.9713292742097152E-3"/>
                  <c:y val="0.21461618055571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196-4BF8-BBBD-88A1299EDE70}"/>
                </c:ext>
              </c:extLst>
            </c:dLbl>
            <c:dLbl>
              <c:idx val="9"/>
              <c:layout>
                <c:manualLayout>
                  <c:x val="-6.0825030716640512E-4"/>
                  <c:y val="0.195693945644667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96-4BF8-BBBD-88A1299EDE70}"/>
                </c:ext>
              </c:extLst>
            </c:dLbl>
            <c:dLbl>
              <c:idx val="10"/>
              <c:layout>
                <c:manualLayout>
                  <c:x val="3.5160856280822585E-3"/>
                  <c:y val="0.201554094975450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196-4BF8-BBBD-88A1299EDE70}"/>
                </c:ext>
              </c:extLst>
            </c:dLbl>
            <c:dLbl>
              <c:idx val="11"/>
              <c:layout>
                <c:manualLayout>
                  <c:x val="1.2182654383391949E-2"/>
                  <c:y val="-6.60513874934772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196-4BF8-BBBD-88A1299EDE70}"/>
                </c:ext>
              </c:extLst>
            </c:dLbl>
            <c:dLbl>
              <c:idx val="12"/>
              <c:layout>
                <c:manualLayout>
                  <c:x val="1.4619667186197637E-2"/>
                  <c:y val="7.12508859241259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196-4BF8-BBBD-88A1299EDE70}"/>
                </c:ext>
              </c:extLst>
            </c:dLbl>
            <c:dLbl>
              <c:idx val="13"/>
              <c:layout>
                <c:manualLayout>
                  <c:x val="3.2634031436079916E-3"/>
                  <c:y val="-0.3267917516334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196-4BF8-BBBD-88A1299EDE70}"/>
                </c:ext>
              </c:extLst>
            </c:dLbl>
            <c:dLbl>
              <c:idx val="14"/>
              <c:layout>
                <c:manualLayout>
                  <c:x val="0"/>
                  <c:y val="-0.337674123512444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196-4BF8-BBBD-88A1299EDE70}"/>
                </c:ext>
              </c:extLst>
            </c:dLbl>
            <c:dLbl>
              <c:idx val="15"/>
              <c:layout>
                <c:manualLayout>
                  <c:x val="-3.035229212384315E-3"/>
                  <c:y val="-0.378885805090903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196-4BF8-BBBD-88A1299EDE70}"/>
                </c:ext>
              </c:extLst>
            </c:dLbl>
            <c:dLbl>
              <c:idx val="16"/>
              <c:layout>
                <c:manualLayout>
                  <c:x val="0"/>
                  <c:y val="-0.37258384202484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196-4BF8-BBBD-88A1299EDE70}"/>
                </c:ext>
              </c:extLst>
            </c:dLbl>
            <c:dLbl>
              <c:idx val="17"/>
              <c:layout>
                <c:manualLayout>
                  <c:x val="-3.035229212384315E-3"/>
                  <c:y val="-0.387828030845188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196-4BF8-BBBD-88A1299EDE70}"/>
                </c:ext>
              </c:extLst>
            </c:dLbl>
            <c:dLbl>
              <c:idx val="18"/>
              <c:layout>
                <c:manualLayout>
                  <c:x val="0"/>
                  <c:y val="-0.398690816251367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196-4BF8-BBBD-88A1299EDE70}"/>
                </c:ext>
              </c:extLst>
            </c:dLbl>
            <c:dLbl>
              <c:idx val="19"/>
              <c:layout>
                <c:manualLayout>
                  <c:x val="0"/>
                  <c:y val="-0.411834012827609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196-4BF8-BBBD-88A1299EDE70}"/>
                </c:ext>
              </c:extLst>
            </c:dLbl>
            <c:dLbl>
              <c:idx val="20"/>
              <c:layout>
                <c:manualLayout>
                  <c:x val="0"/>
                  <c:y val="-0.429448491225367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196-4BF8-BBBD-88A1299EDE70}"/>
                </c:ext>
              </c:extLst>
            </c:dLbl>
            <c:dLbl>
              <c:idx val="21"/>
              <c:layout>
                <c:manualLayout>
                  <c:x val="0"/>
                  <c:y val="-0.44670311810495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196-4BF8-BBBD-88A1299EDE70}"/>
                </c:ext>
              </c:extLst>
            </c:dLbl>
            <c:dLbl>
              <c:idx val="22"/>
              <c:layout>
                <c:manualLayout>
                  <c:x val="0"/>
                  <c:y val="-0.448983529275019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196-4BF8-BBBD-88A1299EDE70}"/>
                </c:ext>
              </c:extLst>
            </c:dLbl>
            <c:dLbl>
              <c:idx val="23"/>
              <c:layout>
                <c:manualLayout>
                  <c:x val="-3.035229212384315E-3"/>
                  <c:y val="-0.460116287792012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196-4BF8-BBBD-88A1299EDE70}"/>
                </c:ext>
              </c:extLst>
            </c:dLbl>
            <c:dLbl>
              <c:idx val="24"/>
              <c:layout>
                <c:manualLayout>
                  <c:x val="0"/>
                  <c:y val="-0.477281036264248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196-4BF8-BBBD-88A1299EDE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W!$B$3:$B$13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 formatCode="General">
                  <c:v>2021</c:v>
                </c:pt>
                <c:pt idx="7" formatCode="General">
                  <c:v>2022</c:v>
                </c:pt>
                <c:pt idx="8" formatCode="General">
                  <c:v>2023</c:v>
                </c:pt>
                <c:pt idx="9" formatCode="General">
                  <c:v>2024</c:v>
                </c:pt>
                <c:pt idx="10" formatCode="General">
                  <c:v>2025</c:v>
                </c:pt>
              </c:numCache>
            </c:numRef>
          </c:cat>
          <c:val>
            <c:numRef>
              <c:f>W!$C$3:$C$13</c:f>
              <c:numCache>
                <c:formatCode>#,##0</c:formatCode>
                <c:ptCount val="11"/>
                <c:pt idx="0">
                  <c:v>36658</c:v>
                </c:pt>
                <c:pt idx="1">
                  <c:v>35772</c:v>
                </c:pt>
                <c:pt idx="2">
                  <c:v>31163</c:v>
                </c:pt>
                <c:pt idx="3">
                  <c:v>26667</c:v>
                </c:pt>
                <c:pt idx="4">
                  <c:v>22309</c:v>
                </c:pt>
                <c:pt idx="5">
                  <c:v>18849</c:v>
                </c:pt>
                <c:pt idx="6">
                  <c:v>22945</c:v>
                </c:pt>
                <c:pt idx="7">
                  <c:v>24415</c:v>
                </c:pt>
                <c:pt idx="8">
                  <c:v>20427</c:v>
                </c:pt>
                <c:pt idx="9">
                  <c:v>17066</c:v>
                </c:pt>
                <c:pt idx="10">
                  <c:v>16096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19-5196-4BF8-BBBD-88A1299EDE70}"/>
            </c:ext>
          </c:extLst>
        </c:ser>
        <c:ser>
          <c:idx val="1"/>
          <c:order val="1"/>
          <c:tx>
            <c:strRef>
              <c:f>W!$D$2</c:f>
              <c:strCache>
                <c:ptCount val="1"/>
                <c:pt idx="0">
                  <c:v>Bezrobotni kończący udział w aktywnych formach</c:v>
                </c:pt>
              </c:strCache>
            </c:strRef>
          </c:tx>
          <c:spPr>
            <a:gradFill flip="none" rotWithShape="1">
              <a:gsLst>
                <a:gs pos="61000">
                  <a:srgbClr val="0000EA"/>
                </a:gs>
                <a:gs pos="99000">
                  <a:schemeClr val="tx1"/>
                </a:gs>
              </a:gsLst>
              <a:lin ang="16200000" scaled="1"/>
              <a:tileRect/>
            </a:gradFill>
            <a:ln w="6350"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7.4240944106351396E-3"/>
                  <c:y val="0.167132950596874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196-4BF8-BBBD-88A1299EDE70}"/>
                </c:ext>
              </c:extLst>
            </c:dLbl>
            <c:dLbl>
              <c:idx val="1"/>
              <c:layout>
                <c:manualLayout>
                  <c:x val="4.6017945099328531E-3"/>
                  <c:y val="0.18160030349897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196-4BF8-BBBD-88A1299EDE70}"/>
                </c:ext>
              </c:extLst>
            </c:dLbl>
            <c:dLbl>
              <c:idx val="2"/>
              <c:layout>
                <c:manualLayout>
                  <c:x val="7.2654503658644495E-3"/>
                  <c:y val="0.18031085911097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196-4BF8-BBBD-88A1299EDE70}"/>
                </c:ext>
              </c:extLst>
            </c:dLbl>
            <c:dLbl>
              <c:idx val="3"/>
              <c:layout>
                <c:manualLayout>
                  <c:x val="8.5609689173861726E-3"/>
                  <c:y val="0.16086227242016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196-4BF8-BBBD-88A1299EDE70}"/>
                </c:ext>
              </c:extLst>
            </c:dLbl>
            <c:dLbl>
              <c:idx val="4"/>
              <c:layout>
                <c:manualLayout>
                  <c:x val="6.282527615235802E-3"/>
                  <c:y val="0.161438792596955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196-4BF8-BBBD-88A1299EDE70}"/>
                </c:ext>
              </c:extLst>
            </c:dLbl>
            <c:dLbl>
              <c:idx val="5"/>
              <c:layout>
                <c:manualLayout>
                  <c:x val="8.9649526257600393E-3"/>
                  <c:y val="0.16988483094780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196-4BF8-BBBD-88A1299EDE70}"/>
                </c:ext>
              </c:extLst>
            </c:dLbl>
            <c:dLbl>
              <c:idx val="6"/>
              <c:layout>
                <c:manualLayout>
                  <c:x val="5.3641796940984265E-3"/>
                  <c:y val="0.169884830947801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F4-4C57-A4B9-5118AD1AD541}"/>
                </c:ext>
              </c:extLst>
            </c:dLbl>
            <c:dLbl>
              <c:idx val="7"/>
              <c:layout>
                <c:manualLayout>
                  <c:x val="8.0463812623060849E-3"/>
                  <c:y val="0.187978257765261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F4-4C57-A4B9-5118AD1AD541}"/>
                </c:ext>
              </c:extLst>
            </c:dLbl>
            <c:dLbl>
              <c:idx val="8"/>
              <c:layout>
                <c:manualLayout>
                  <c:x val="5.2019605722625857E-3"/>
                  <c:y val="0.19647438197250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D6-4BDB-B7AF-2F6FFD6EADB6}"/>
                </c:ext>
              </c:extLst>
            </c:dLbl>
            <c:dLbl>
              <c:idx val="9"/>
              <c:layout>
                <c:manualLayout>
                  <c:x val="4.7282628611161961E-3"/>
                  <c:y val="0.182454249589544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D6-4BDB-B7AF-2F6FFD6EADB6}"/>
                </c:ext>
              </c:extLst>
            </c:dLbl>
            <c:dLbl>
              <c:idx val="10"/>
              <c:layout>
                <c:manualLayout>
                  <c:x val="2.532714393774867E-3"/>
                  <c:y val="0.187322750707879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8D-4D89-BAC0-D537F2A5DC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W!$B$3:$B$13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 formatCode="General">
                  <c:v>2021</c:v>
                </c:pt>
                <c:pt idx="7" formatCode="General">
                  <c:v>2022</c:v>
                </c:pt>
                <c:pt idx="8" formatCode="General">
                  <c:v>2023</c:v>
                </c:pt>
                <c:pt idx="9" formatCode="General">
                  <c:v>2024</c:v>
                </c:pt>
                <c:pt idx="10" formatCode="General">
                  <c:v>2025</c:v>
                </c:pt>
              </c:numCache>
            </c:numRef>
          </c:cat>
          <c:val>
            <c:numRef>
              <c:f>W!$D$3:$D$13</c:f>
              <c:numCache>
                <c:formatCode>#,##0</c:formatCode>
                <c:ptCount val="11"/>
                <c:pt idx="0">
                  <c:v>26927</c:v>
                </c:pt>
                <c:pt idx="1">
                  <c:v>28312</c:v>
                </c:pt>
                <c:pt idx="2">
                  <c:v>24731</c:v>
                </c:pt>
                <c:pt idx="3">
                  <c:v>22212</c:v>
                </c:pt>
                <c:pt idx="4">
                  <c:v>17964</c:v>
                </c:pt>
                <c:pt idx="5">
                  <c:v>15254</c:v>
                </c:pt>
                <c:pt idx="6">
                  <c:v>16308</c:v>
                </c:pt>
                <c:pt idx="7">
                  <c:v>18116</c:v>
                </c:pt>
                <c:pt idx="8">
                  <c:v>17387</c:v>
                </c:pt>
                <c:pt idx="9">
                  <c:v>15058</c:v>
                </c:pt>
                <c:pt idx="10">
                  <c:v>13476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5196-4BF8-BBBD-88A1299ED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96071168"/>
        <c:axId val="296072704"/>
        <c:axId val="0"/>
      </c:bar3DChart>
      <c:catAx>
        <c:axId val="2960711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solidFill>
            <a:srgbClr val="FFFFFF"/>
          </a:solidFill>
          <a:ln w="190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pl-PL"/>
          </a:p>
        </c:txPr>
        <c:crossAx val="296072704"/>
        <c:crosses val="autoZero"/>
        <c:auto val="0"/>
        <c:lblAlgn val="ctr"/>
        <c:lblOffset val="100"/>
        <c:noMultiLvlLbl val="0"/>
      </c:catAx>
      <c:valAx>
        <c:axId val="296072704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</c:majorGridlines>
        <c:minorGridlines>
          <c:spPr>
            <a:ln w="3175">
              <a:solidFill>
                <a:srgbClr val="E8E3ED"/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 w="3175">
            <a:solidFill>
              <a:srgbClr val="0000FF">
                <a:alpha val="42000"/>
              </a:srgbClr>
            </a:solidFill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pl-PL"/>
          </a:p>
        </c:txPr>
        <c:crossAx val="296071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7381582140813733"/>
          <c:y val="9.6578264571595865E-2"/>
          <c:w val="0.42961397411078589"/>
          <c:h val="0.20070849943923155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rgbClr val="F9F9F9">
            <a:alpha val="24706"/>
          </a:srgb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0793167444458455E-2"/>
          <c:y val="4.3657407407407409E-2"/>
          <c:w val="0.90318852591938592"/>
          <c:h val="0.8281778375264067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EKiZ25!$H$2</c:f>
              <c:strCache>
                <c:ptCount val="1"/>
                <c:pt idx="0">
                  <c:v>wskaźnik efektywności zatrudnieniowej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7.8214426956143797E-4"/>
                  <c:y val="0.148890791594346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26-4AE3-90B2-8BB155FF5077}"/>
                </c:ext>
              </c:extLst>
            </c:dLbl>
            <c:dLbl>
              <c:idx val="1"/>
              <c:layout>
                <c:manualLayout>
                  <c:x val="4.5352620786960479E-3"/>
                  <c:y val="0.159767852715100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26-4AE3-90B2-8BB155FF5077}"/>
                </c:ext>
              </c:extLst>
            </c:dLbl>
            <c:dLbl>
              <c:idx val="2"/>
              <c:layout>
                <c:manualLayout>
                  <c:x val="1.2948853315995765E-3"/>
                  <c:y val="0.137350139344206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26-4AE3-90B2-8BB155FF5077}"/>
                </c:ext>
              </c:extLst>
            </c:dLbl>
            <c:dLbl>
              <c:idx val="3"/>
              <c:layout>
                <c:manualLayout>
                  <c:x val="1.0258442415056923E-3"/>
                  <c:y val="0.162359147717684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26-4AE3-90B2-8BB155FF5077}"/>
                </c:ext>
              </c:extLst>
            </c:dLbl>
            <c:dLbl>
              <c:idx val="4"/>
              <c:layout>
                <c:manualLayout>
                  <c:x val="9.3140824569483555E-3"/>
                  <c:y val="0.151302195958877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26-4AE3-90B2-8BB155FF5077}"/>
                </c:ext>
              </c:extLst>
            </c:dLbl>
            <c:dLbl>
              <c:idx val="5"/>
              <c:layout>
                <c:manualLayout>
                  <c:x val="3.6310540320853659E-3"/>
                  <c:y val="0.13284695464870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26-4AE3-90B2-8BB155FF5077}"/>
                </c:ext>
              </c:extLst>
            </c:dLbl>
            <c:dLbl>
              <c:idx val="6"/>
              <c:layout>
                <c:manualLayout>
                  <c:x val="1.0893162096256098E-2"/>
                  <c:y val="0.158313295798109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26-4AE3-90B2-8BB155FF5077}"/>
                </c:ext>
              </c:extLst>
            </c:dLbl>
            <c:dLbl>
              <c:idx val="7"/>
              <c:layout>
                <c:manualLayout>
                  <c:x val="7.2621080641705983E-3"/>
                  <c:y val="0.147856304387273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26-4AE3-90B2-8BB155FF5077}"/>
                </c:ext>
              </c:extLst>
            </c:dLbl>
            <c:dLbl>
              <c:idx val="8"/>
              <c:layout>
                <c:manualLayout>
                  <c:x val="7.2621080641707319E-3"/>
                  <c:y val="0.147456601689282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26-4AE3-90B2-8BB155FF5077}"/>
                </c:ext>
              </c:extLst>
            </c:dLbl>
            <c:dLbl>
              <c:idx val="9"/>
              <c:layout>
                <c:manualLayout>
                  <c:x val="3.6310540320853659E-3"/>
                  <c:y val="0.163255523298848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26-4AE3-90B2-8BB155FF5077}"/>
                </c:ext>
              </c:extLst>
            </c:dLbl>
            <c:dLbl>
              <c:idx val="10"/>
              <c:layout>
                <c:manualLayout>
                  <c:x val="3.6310540320853659E-3"/>
                  <c:y val="0.136923987282904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9B-41CA-AEDF-9D8EA20975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100" b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EKiZ25!$H$3:$H$13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EKiZ25!$I$3:$I$13</c:f>
              <c:numCache>
                <c:formatCode>0.0</c:formatCode>
                <c:ptCount val="11"/>
                <c:pt idx="0">
                  <c:v>74.300887584951909</c:v>
                </c:pt>
                <c:pt idx="1">
                  <c:v>80.570076292738051</c:v>
                </c:pt>
                <c:pt idx="2">
                  <c:v>86.138854069790952</c:v>
                </c:pt>
                <c:pt idx="3">
                  <c:v>88.177561678372058</c:v>
                </c:pt>
                <c:pt idx="4">
                  <c:v>89.150523268759741</c:v>
                </c:pt>
                <c:pt idx="5">
                  <c:v>88.49482103054936</c:v>
                </c:pt>
                <c:pt idx="6">
                  <c:v>89.171105625568401</c:v>
                </c:pt>
                <c:pt idx="7">
                  <c:v>86.64716272907927</c:v>
                </c:pt>
                <c:pt idx="8">
                  <c:v>86.041295220567093</c:v>
                </c:pt>
                <c:pt idx="9">
                  <c:v>87.501660247044768</c:v>
                </c:pt>
                <c:pt idx="10">
                  <c:v>86.175422974176314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9-1826-4AE3-90B2-8BB155FF5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09072512"/>
        <c:axId val="209074048"/>
        <c:axId val="0"/>
      </c:bar3DChart>
      <c:catAx>
        <c:axId val="2090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074048"/>
        <c:crosses val="autoZero"/>
        <c:auto val="0"/>
        <c:lblAlgn val="ctr"/>
        <c:lblOffset val="100"/>
        <c:noMultiLvlLbl val="0"/>
      </c:catAx>
      <c:valAx>
        <c:axId val="209074048"/>
        <c:scaling>
          <c:orientation val="minMax"/>
          <c:max val="90"/>
          <c:min val="65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072512"/>
        <c:crosses val="autoZero"/>
        <c:crossBetween val="between"/>
        <c:majorUnit val="2"/>
        <c:minorUnit val="1"/>
      </c:valAx>
    </c:plotArea>
    <c:legend>
      <c:legendPos val="r"/>
      <c:legendEntry>
        <c:idx val="0"/>
        <c:txPr>
          <a:bodyPr/>
          <a:lstStyle/>
          <a:p>
            <a:pPr>
              <a:defRPr sz="9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</c:legendEntry>
      <c:layout>
        <c:manualLayout>
          <c:xMode val="edge"/>
          <c:yMode val="edge"/>
          <c:x val="5.8895124580892015E-2"/>
          <c:y val="0.892357251850875"/>
          <c:w val="0.73827378720517078"/>
          <c:h val="5.6102284244172441E-2"/>
        </c:manualLayout>
      </c:layout>
      <c:overlay val="0"/>
      <c:txPr>
        <a:bodyPr/>
        <a:lstStyle/>
        <a:p>
          <a:pPr>
            <a:defRPr sz="7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rgbClr val="F9F9F9">
            <a:alpha val="24706"/>
          </a:srgb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3181224638800354"/>
          <c:y val="2.8006135674989975E-2"/>
          <c:w val="0.90318852591938592"/>
          <c:h val="0.852615743529095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EKiZ25!$H$17</c:f>
              <c:strCache>
                <c:ptCount val="1"/>
                <c:pt idx="0">
                  <c:v>wskaźnik efektywności kosztowej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-6.1743287904875536E-3"/>
                  <c:y val="0.234881533749825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05-43FA-AAE6-010B3AA715E3}"/>
                </c:ext>
              </c:extLst>
            </c:dLbl>
            <c:dLbl>
              <c:idx val="1"/>
              <c:layout>
                <c:manualLayout>
                  <c:x val="1.0570055644439906E-3"/>
                  <c:y val="0.23081241285467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05-43FA-AAE6-010B3AA715E3}"/>
                </c:ext>
              </c:extLst>
            </c:dLbl>
            <c:dLbl>
              <c:idx val="2"/>
              <c:layout>
                <c:manualLayout>
                  <c:x val="1.4475843539022608E-3"/>
                  <c:y val="0.238022026938505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05-43FA-AAE6-010B3AA715E3}"/>
                </c:ext>
              </c:extLst>
            </c:dLbl>
            <c:dLbl>
              <c:idx val="3"/>
              <c:layout>
                <c:manualLayout>
                  <c:x val="4.8099105456546991E-3"/>
                  <c:y val="0.232775221097599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05-43FA-AAE6-010B3AA715E3}"/>
                </c:ext>
              </c:extLst>
            </c:dLbl>
            <c:dLbl>
              <c:idx val="4"/>
              <c:layout>
                <c:manualLayout>
                  <c:x val="1.9899481543024372E-3"/>
                  <c:y val="0.254643237364594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05-43FA-AAE6-010B3AA715E3}"/>
                </c:ext>
              </c:extLst>
            </c:dLbl>
            <c:dLbl>
              <c:idx val="5"/>
              <c:layout>
                <c:manualLayout>
                  <c:x val="3.5511654097056221E-3"/>
                  <c:y val="0.251440282201618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05-43FA-AAE6-010B3AA715E3}"/>
                </c:ext>
              </c:extLst>
            </c:dLbl>
            <c:dLbl>
              <c:idx val="6"/>
              <c:layout>
                <c:manualLayout>
                  <c:x val="6.9810126009005368E-3"/>
                  <c:y val="0.226372868732207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5-43FA-AAE6-010B3AA715E3}"/>
                </c:ext>
              </c:extLst>
            </c:dLbl>
            <c:dLbl>
              <c:idx val="7"/>
              <c:layout>
                <c:manualLayout>
                  <c:x val="6.9716414081137969E-3"/>
                  <c:y val="0.21847538171325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5-43FA-AAE6-010B3AA715E3}"/>
                </c:ext>
              </c:extLst>
            </c:dLbl>
            <c:dLbl>
              <c:idx val="8"/>
              <c:layout>
                <c:manualLayout>
                  <c:x val="6.4842979151961055E-3"/>
                  <c:y val="0.203468118809278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05-43FA-AAE6-010B3AA715E3}"/>
                </c:ext>
              </c:extLst>
            </c:dLbl>
            <c:dLbl>
              <c:idx val="9"/>
              <c:layout>
                <c:manualLayout>
                  <c:x val="3.2421489575980528E-3"/>
                  <c:y val="0.193033856306238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E05-43FA-AAE6-010B3AA715E3}"/>
                </c:ext>
              </c:extLst>
            </c:dLbl>
            <c:dLbl>
              <c:idx val="10"/>
              <c:layout>
                <c:manualLayout>
                  <c:x val="0"/>
                  <c:y val="0.15129680629407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E2-4D63-8FDF-C8ADD29F08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100" b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EKiZ25!$H$18:$H$28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EKiZ25!$I$18:$I$28</c:f>
              <c:numCache>
                <c:formatCode>#\ ##0.0</c:formatCode>
                <c:ptCount val="11"/>
                <c:pt idx="0">
                  <c:v>13907.527365422102</c:v>
                </c:pt>
                <c:pt idx="1">
                  <c:v>11609.894349217486</c:v>
                </c:pt>
                <c:pt idx="2">
                  <c:v>11688.893583063418</c:v>
                </c:pt>
                <c:pt idx="3">
                  <c:v>10588.083324823854</c:v>
                </c:pt>
                <c:pt idx="4">
                  <c:v>10436.921635966282</c:v>
                </c:pt>
                <c:pt idx="5">
                  <c:v>11096.925698199866</c:v>
                </c:pt>
                <c:pt idx="6">
                  <c:v>15695.294915130766</c:v>
                </c:pt>
                <c:pt idx="7">
                  <c:v>17604.605179970695</c:v>
                </c:pt>
                <c:pt idx="8">
                  <c:v>18474.770064839573</c:v>
                </c:pt>
                <c:pt idx="9">
                  <c:v>19103.241375227688</c:v>
                </c:pt>
                <c:pt idx="10">
                  <c:v>20887.82594161715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9-EE05-43FA-AAE6-010B3AA71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09103488"/>
        <c:axId val="209105280"/>
        <c:axId val="0"/>
      </c:bar3DChart>
      <c:catAx>
        <c:axId val="20910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105280"/>
        <c:crosses val="autoZero"/>
        <c:auto val="0"/>
        <c:lblAlgn val="ctr"/>
        <c:lblOffset val="100"/>
        <c:noMultiLvlLbl val="0"/>
      </c:catAx>
      <c:valAx>
        <c:axId val="20910528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103488"/>
        <c:crosses val="autoZero"/>
        <c:crossBetween val="between"/>
        <c:majorUnit val="1000"/>
        <c:minorUnit val="500"/>
      </c:valAx>
    </c:plotArea>
    <c:legend>
      <c:legendPos val="r"/>
      <c:layout>
        <c:manualLayout>
          <c:xMode val="edge"/>
          <c:yMode val="edge"/>
          <c:x val="3.9190586132340312E-2"/>
          <c:y val="0.90045063547152282"/>
          <c:w val="0.62314133146618811"/>
          <c:h val="5.6102284244172441E-2"/>
        </c:manualLayout>
      </c:layout>
      <c:overlay val="0"/>
      <c:txPr>
        <a:bodyPr/>
        <a:lstStyle/>
        <a:p>
          <a:pPr>
            <a:defRPr sz="9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rgbClr val="F9F9F9">
            <a:alpha val="24706"/>
          </a:srgb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0793167444458455E-2"/>
          <c:y val="4.3657407407407409E-2"/>
          <c:w val="0.90318852591938592"/>
          <c:h val="0.8281778375264067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EKiZ25!$K$2</c:f>
              <c:strCache>
                <c:ptCount val="1"/>
                <c:pt idx="0">
                  <c:v>wskaźnik efektywności zatrudnieniowej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60000"/>
                    <a:lumOff val="40000"/>
                  </a:schemeClr>
                </a:gs>
                <a:gs pos="83000">
                  <a:schemeClr val="tx2">
                    <a:lumMod val="75000"/>
                  </a:schemeClr>
                </a:gs>
                <a:gs pos="12000">
                  <a:schemeClr val="tx2">
                    <a:lumMod val="60000"/>
                    <a:lumOff val="40000"/>
                  </a:schemeClr>
                </a:gs>
                <a:gs pos="99000">
                  <a:srgbClr val="141C19"/>
                </a:gs>
              </a:gsLst>
              <a:lin ang="5400000" scaled="1"/>
              <a:tileRect/>
            </a:gra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7.8218935999965766E-4"/>
                  <c:y val="0.190269888677708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D4-4DDB-BE14-C88A0B5E1DB1}"/>
                </c:ext>
              </c:extLst>
            </c:dLbl>
            <c:dLbl>
              <c:idx val="1"/>
              <c:layout>
                <c:manualLayout>
                  <c:x val="4.5353860811942221E-3"/>
                  <c:y val="0.20804398588107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D4-4DDB-BE14-C88A0B5E1DB1}"/>
                </c:ext>
              </c:extLst>
            </c:dLbl>
            <c:dLbl>
              <c:idx val="2"/>
              <c:layout>
                <c:manualLayout>
                  <c:x val="1.3030784086354619E-3"/>
                  <c:y val="0.200897094759706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D4-4DDB-BE14-C88A0B5E1DB1}"/>
                </c:ext>
              </c:extLst>
            </c:dLbl>
            <c:dLbl>
              <c:idx val="3"/>
              <c:layout>
                <c:manualLayout>
                  <c:x val="8.2880535865083541E-3"/>
                  <c:y val="0.167449401810066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D4-4DDB-BE14-C88A0B5E1DB1}"/>
                </c:ext>
              </c:extLst>
            </c:dLbl>
            <c:dLbl>
              <c:idx val="4"/>
              <c:layout>
                <c:manualLayout>
                  <c:x val="2.0846972439376855E-3"/>
                  <c:y val="0.144077654086342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D4-4DDB-BE14-C88A0B5E1DB1}"/>
                </c:ext>
              </c:extLst>
            </c:dLbl>
            <c:dLbl>
              <c:idx val="5"/>
              <c:layout>
                <c:manualLayout>
                  <c:x val="1.0909573261789403E-2"/>
                  <c:y val="0.17356991582948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D4-4DDB-BE14-C88A0B5E1DB1}"/>
                </c:ext>
              </c:extLst>
            </c:dLbl>
            <c:dLbl>
              <c:idx val="6"/>
              <c:layout>
                <c:manualLayout>
                  <c:x val="1.0893162096256098E-2"/>
                  <c:y val="0.178675007245482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D4-4DDB-BE14-C88A0B5E1DB1}"/>
                </c:ext>
              </c:extLst>
            </c:dLbl>
            <c:dLbl>
              <c:idx val="7"/>
              <c:layout>
                <c:manualLayout>
                  <c:x val="1.0885040699805594E-2"/>
                  <c:y val="0.180736356231333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D4-4DDB-BE14-C88A0B5E1DB1}"/>
                </c:ext>
              </c:extLst>
            </c:dLbl>
            <c:dLbl>
              <c:idx val="8"/>
              <c:layout>
                <c:manualLayout>
                  <c:x val="1.0868495483583865E-2"/>
                  <c:y val="0.212357071236773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D4-4DDB-BE14-C88A0B5E1DB1}"/>
                </c:ext>
              </c:extLst>
            </c:dLbl>
            <c:dLbl>
              <c:idx val="9"/>
              <c:layout>
                <c:manualLayout>
                  <c:x val="7.2456636557224436E-3"/>
                  <c:y val="0.19771175597906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D4-4DDB-BE14-C88A0B5E1DB1}"/>
                </c:ext>
              </c:extLst>
            </c:dLbl>
            <c:dLbl>
              <c:idx val="10"/>
              <c:layout>
                <c:manualLayout>
                  <c:x val="3.6228318278612882E-3"/>
                  <c:y val="0.248970359381045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74-4B31-9FE9-CD2A1BD1B5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1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EKiZ25!$K$3:$K$13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EKiZ25!$L$3:$L$13</c:f>
              <c:numCache>
                <c:formatCode>0.0</c:formatCode>
                <c:ptCount val="11"/>
                <c:pt idx="0">
                  <c:v>74.481541403147517</c:v>
                </c:pt>
                <c:pt idx="1">
                  <c:v>80.824465337328235</c:v>
                </c:pt>
                <c:pt idx="2">
                  <c:v>86.38524875333411</c:v>
                </c:pt>
                <c:pt idx="3">
                  <c:v>88.437805864079323</c:v>
                </c:pt>
                <c:pt idx="4">
                  <c:v>89.357283771155636</c:v>
                </c:pt>
                <c:pt idx="5">
                  <c:v>88.769305606226439</c:v>
                </c:pt>
                <c:pt idx="6">
                  <c:v>89.471425067451563</c:v>
                </c:pt>
                <c:pt idx="7">
                  <c:v>86.886017680598414</c:v>
                </c:pt>
                <c:pt idx="8">
                  <c:v>86.359937062557648</c:v>
                </c:pt>
                <c:pt idx="9">
                  <c:v>87.851101919871596</c:v>
                </c:pt>
                <c:pt idx="10">
                  <c:v>85.962836662259036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9-97D4-4DDB-BE14-C88A0B5E1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09150720"/>
        <c:axId val="209152256"/>
        <c:axId val="0"/>
      </c:bar3DChart>
      <c:catAx>
        <c:axId val="20915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152256"/>
        <c:crosses val="autoZero"/>
        <c:auto val="0"/>
        <c:lblAlgn val="ctr"/>
        <c:lblOffset val="100"/>
        <c:noMultiLvlLbl val="0"/>
      </c:catAx>
      <c:valAx>
        <c:axId val="209152256"/>
        <c:scaling>
          <c:orientation val="minMax"/>
          <c:max val="90"/>
          <c:min val="65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150720"/>
        <c:crosses val="autoZero"/>
        <c:crossBetween val="between"/>
        <c:majorUnit val="2"/>
        <c:minorUnit val="1"/>
      </c:valAx>
    </c:plotArea>
    <c:legend>
      <c:legendPos val="r"/>
      <c:legendEntry>
        <c:idx val="0"/>
        <c:txPr>
          <a:bodyPr/>
          <a:lstStyle/>
          <a:p>
            <a:pPr>
              <a:defRPr sz="9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</c:legendEntry>
      <c:layout>
        <c:manualLayout>
          <c:xMode val="edge"/>
          <c:yMode val="edge"/>
          <c:x val="6.2879808988331343E-2"/>
          <c:y val="0.92025957100190048"/>
          <c:w val="0.73827378720517078"/>
          <c:h val="5.6102284244172441E-2"/>
        </c:manualLayout>
      </c:layout>
      <c:overlay val="0"/>
      <c:txPr>
        <a:bodyPr/>
        <a:lstStyle/>
        <a:p>
          <a:pPr>
            <a:defRPr sz="7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rgbClr val="F9F9F9">
            <a:alpha val="24706"/>
          </a:srgb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07931751573229E-2"/>
          <c:y val="6.029316073350463E-2"/>
          <c:w val="0.90318852591938592"/>
          <c:h val="0.7770924062250361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EKiZ25!$K$17</c:f>
              <c:strCache>
                <c:ptCount val="1"/>
                <c:pt idx="0">
                  <c:v>wskaźnik efektywności kosztowej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40000"/>
                    <a:lumOff val="60000"/>
                  </a:schemeClr>
                </a:gs>
                <a:gs pos="83000">
                  <a:schemeClr val="tx2">
                    <a:lumMod val="75000"/>
                  </a:schemeClr>
                </a:gs>
                <a:gs pos="12000">
                  <a:schemeClr val="tx2">
                    <a:lumMod val="60000"/>
                    <a:lumOff val="40000"/>
                  </a:schemeClr>
                </a:gs>
                <a:gs pos="99000">
                  <a:srgbClr val="202C27">
                    <a:lumMod val="63000"/>
                  </a:srgbClr>
                </a:gs>
              </a:gsLst>
              <a:lin ang="5400000" scaled="1"/>
              <a:tileRect/>
            </a:gra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7.8227466685341376E-4"/>
                  <c:y val="0.234265318140344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C7-49A3-B2D9-750284351B0D}"/>
                </c:ext>
              </c:extLst>
            </c:dLbl>
            <c:dLbl>
              <c:idx val="1"/>
              <c:layout>
                <c:manualLayout>
                  <c:x val="-2.4413122327926356E-3"/>
                  <c:y val="0.305142291302911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C7-49A3-B2D9-750284351B0D}"/>
                </c:ext>
              </c:extLst>
            </c:dLbl>
            <c:dLbl>
              <c:idx val="2"/>
              <c:layout>
                <c:manualLayout>
                  <c:x val="1.4373747653244667E-3"/>
                  <c:y val="0.31133296891317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C7-49A3-B2D9-750284351B0D}"/>
                </c:ext>
              </c:extLst>
            </c:dLbl>
            <c:dLbl>
              <c:idx val="3"/>
              <c:layout>
                <c:manualLayout>
                  <c:x val="-2.1768001175610039E-3"/>
                  <c:y val="0.309548821396168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C7-49A3-B2D9-750284351B0D}"/>
                </c:ext>
              </c:extLst>
            </c:dLbl>
            <c:dLbl>
              <c:idx val="4"/>
              <c:layout>
                <c:manualLayout>
                  <c:x val="1.9650256203194287E-3"/>
                  <c:y val="0.309811059653793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C7-49A3-B2D9-750284351B0D}"/>
                </c:ext>
              </c:extLst>
            </c:dLbl>
            <c:dLbl>
              <c:idx val="5"/>
              <c:layout>
                <c:manualLayout>
                  <c:x val="8.2402528109562403E-6"/>
                  <c:y val="0.305087164596495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C7-49A3-B2D9-750284351B0D}"/>
                </c:ext>
              </c:extLst>
            </c:dLbl>
            <c:dLbl>
              <c:idx val="6"/>
              <c:layout>
                <c:manualLayout>
                  <c:x val="3.4924938163768252E-3"/>
                  <c:y val="0.248218042095165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C7-49A3-B2D9-750284351B0D}"/>
                </c:ext>
              </c:extLst>
            </c:dLbl>
            <c:dLbl>
              <c:idx val="7"/>
              <c:layout>
                <c:manualLayout>
                  <c:x val="3.4883736899714748E-3"/>
                  <c:y val="0.214992609414920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C7-49A3-B2D9-750284351B0D}"/>
                </c:ext>
              </c:extLst>
            </c:dLbl>
            <c:dLbl>
              <c:idx val="8"/>
              <c:layout>
                <c:manualLayout>
                  <c:x val="0"/>
                  <c:y val="0.209120049178888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C7-49A3-B2D9-750284351B0D}"/>
                </c:ext>
              </c:extLst>
            </c:dLbl>
            <c:dLbl>
              <c:idx val="9"/>
              <c:layout>
                <c:manualLayout>
                  <c:x val="3.2421489575980528E-3"/>
                  <c:y val="0.202149380872925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3C7-49A3-B2D9-750284351B0D}"/>
                </c:ext>
              </c:extLst>
            </c:dLbl>
            <c:dLbl>
              <c:idx val="10"/>
              <c:layout>
                <c:manualLayout>
                  <c:x val="0"/>
                  <c:y val="0.209120049178888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18-4398-826C-215854B687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1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EKiZ25!$K$18:$K$28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EKiZ25!$L$18:$L$28</c:f>
              <c:numCache>
                <c:formatCode>#\ ##0.0</c:formatCode>
                <c:ptCount val="11"/>
                <c:pt idx="0">
                  <c:v>13936.626184834126</c:v>
                </c:pt>
                <c:pt idx="1">
                  <c:v>11585.453150965106</c:v>
                </c:pt>
                <c:pt idx="2">
                  <c:v>11606.618338031951</c:v>
                </c:pt>
                <c:pt idx="3">
                  <c:v>10428.115677028198</c:v>
                </c:pt>
                <c:pt idx="4">
                  <c:v>10347.87357657448</c:v>
                </c:pt>
                <c:pt idx="5">
                  <c:v>10736.48195081855</c:v>
                </c:pt>
                <c:pt idx="6">
                  <c:v>15320.115876910426</c:v>
                </c:pt>
                <c:pt idx="7">
                  <c:v>17253.479125827813</c:v>
                </c:pt>
                <c:pt idx="8">
                  <c:v>18122.698253439721</c:v>
                </c:pt>
                <c:pt idx="9">
                  <c:v>18415.408012788983</c:v>
                </c:pt>
                <c:pt idx="10">
                  <c:v>20408.839881800512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9-C3C7-49A3-B2D9-750284351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09177600"/>
        <c:axId val="209212160"/>
        <c:axId val="0"/>
      </c:bar3DChart>
      <c:catAx>
        <c:axId val="20917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212160"/>
        <c:crosses val="autoZero"/>
        <c:auto val="0"/>
        <c:lblAlgn val="ctr"/>
        <c:lblOffset val="100"/>
        <c:noMultiLvlLbl val="0"/>
      </c:catAx>
      <c:valAx>
        <c:axId val="20921216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177600"/>
        <c:crosses val="autoZero"/>
        <c:crossBetween val="between"/>
        <c:majorUnit val="1500"/>
        <c:minorUnit val="500"/>
      </c:valAx>
    </c:plotArea>
    <c:legend>
      <c:legendPos val="r"/>
      <c:layout>
        <c:manualLayout>
          <c:xMode val="edge"/>
          <c:yMode val="edge"/>
          <c:x val="3.0835201872016948E-2"/>
          <c:y val="0.90624231579871783"/>
          <c:w val="0.73827378720517078"/>
          <c:h val="6.3073021867041362E-2"/>
        </c:manualLayout>
      </c:layout>
      <c:overlay val="0"/>
      <c:txPr>
        <a:bodyPr/>
        <a:lstStyle/>
        <a:p>
          <a:pPr>
            <a:defRPr sz="9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rgbClr val="F9F9F9">
            <a:alpha val="24706"/>
          </a:srgb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0372148307154298"/>
          <c:y val="6.2753637510815363E-2"/>
          <c:w val="0.85089993497050942"/>
          <c:h val="0.752376526846177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EKiZ25!$Q$2:$Q$4</c:f>
              <c:strCache>
                <c:ptCount val="3"/>
                <c:pt idx="0">
                  <c:v>wydatki w tys. zł.</c:v>
                </c:pt>
                <c:pt idx="1">
                  <c:v>2025 rok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40000"/>
                    <a:lumOff val="60000"/>
                  </a:schemeClr>
                </a:gs>
                <a:gs pos="83000">
                  <a:schemeClr val="tx2">
                    <a:lumMod val="88000"/>
                    <a:lumOff val="12000"/>
                  </a:schemeClr>
                </a:gs>
                <a:gs pos="12000">
                  <a:schemeClr val="tx2">
                    <a:lumMod val="60000"/>
                    <a:lumOff val="40000"/>
                  </a:schemeClr>
                </a:gs>
                <a:gs pos="99000">
                  <a:schemeClr val="tx2">
                    <a:lumMod val="60000"/>
                    <a:lumOff val="40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6.0627664864727343E-3"/>
                  <c:y val="5.4555073503383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8C-4A84-80E6-2D03CFB4F754}"/>
                </c:ext>
              </c:extLst>
            </c:dLbl>
            <c:dLbl>
              <c:idx val="1"/>
              <c:layout>
                <c:manualLayout>
                  <c:x val="1.0789739643651051E-3"/>
                  <c:y val="8.7751018544110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8C-4A84-80E6-2D03CFB4F754}"/>
                </c:ext>
              </c:extLst>
            </c:dLbl>
            <c:dLbl>
              <c:idx val="2"/>
              <c:layout>
                <c:manualLayout>
                  <c:x val="-2.5014775250995725E-3"/>
                  <c:y val="0.160608275843495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8C-4A84-80E6-2D03CFB4F754}"/>
                </c:ext>
              </c:extLst>
            </c:dLbl>
            <c:dLbl>
              <c:idx val="3"/>
              <c:layout>
                <c:manualLayout>
                  <c:x val="3.4175797955325513E-3"/>
                  <c:y val="0.164621286002804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8C-4A84-80E6-2D03CFB4F754}"/>
                </c:ext>
              </c:extLst>
            </c:dLbl>
            <c:dLbl>
              <c:idx val="4"/>
              <c:layout>
                <c:manualLayout>
                  <c:x val="3.8298918928840187E-3"/>
                  <c:y val="0.170680627794277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8C-4A84-80E6-2D03CFB4F754}"/>
                </c:ext>
              </c:extLst>
            </c:dLbl>
            <c:dLbl>
              <c:idx val="5"/>
              <c:layout>
                <c:manualLayout>
                  <c:x val="7.4674302075876881E-3"/>
                  <c:y val="0.174652327890523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8C-4A84-80E6-2D03CFB4F754}"/>
                </c:ext>
              </c:extLst>
            </c:dLbl>
            <c:dLbl>
              <c:idx val="6"/>
              <c:layout>
                <c:manualLayout>
                  <c:x val="5.3572674045114987E-3"/>
                  <c:y val="0.175754233882057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8C-4A84-80E6-2D03CFB4F754}"/>
                </c:ext>
              </c:extLst>
            </c:dLbl>
            <c:dLbl>
              <c:idx val="7"/>
              <c:layout>
                <c:manualLayout>
                  <c:x val="3.4883736899714748E-3"/>
                  <c:y val="0.214992609414920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8C-4A84-80E6-2D03CFB4F754}"/>
                </c:ext>
              </c:extLst>
            </c:dLbl>
            <c:dLbl>
              <c:idx val="8"/>
              <c:layout>
                <c:manualLayout>
                  <c:x val="0"/>
                  <c:y val="0.209120049178888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78C-4A84-80E6-2D03CFB4F754}"/>
                </c:ext>
              </c:extLst>
            </c:dLbl>
            <c:dLbl>
              <c:idx val="9"/>
              <c:layout>
                <c:manualLayout>
                  <c:x val="3.2421489575980528E-3"/>
                  <c:y val="0.202149380872925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78C-4A84-80E6-2D03CFB4F754}"/>
                </c:ext>
              </c:extLst>
            </c:dLbl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1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EKiZ25!$P$5:$P$11</c:f>
              <c:strCache>
                <c:ptCount val="7"/>
                <c:pt idx="0">
                  <c:v>Szkolenia</c:v>
                </c:pt>
                <c:pt idx="1">
                  <c:v>Bon na zas.</c:v>
                </c:pt>
                <c:pt idx="2">
                  <c:v>Roboty publiczne</c:v>
                </c:pt>
                <c:pt idx="3">
                  <c:v>Prace interwencyjne</c:v>
                </c:pt>
                <c:pt idx="4">
                  <c:v>Refund. kosztów wyp. lub dopos. m. pracy</c:v>
                </c:pt>
                <c:pt idx="5">
                  <c:v>Dof. działaln. gosp.</c:v>
                </c:pt>
                <c:pt idx="6">
                  <c:v>Staże</c:v>
                </c:pt>
              </c:strCache>
            </c:strRef>
          </c:cat>
          <c:val>
            <c:numRef>
              <c:f>EKiZ25!$Q$5:$Q$11</c:f>
              <c:numCache>
                <c:formatCode>#\ ##0.0</c:formatCode>
                <c:ptCount val="7"/>
                <c:pt idx="0">
                  <c:v>6665.2149499999996</c:v>
                </c:pt>
                <c:pt idx="1">
                  <c:v>9519.6675599999999</c:v>
                </c:pt>
                <c:pt idx="2">
                  <c:v>29865.365469999997</c:v>
                </c:pt>
                <c:pt idx="3">
                  <c:v>33670.706749999998</c:v>
                </c:pt>
                <c:pt idx="4">
                  <c:v>44378.208389999993</c:v>
                </c:pt>
                <c:pt idx="5">
                  <c:v>60856.502309999996</c:v>
                </c:pt>
                <c:pt idx="6">
                  <c:v>67134.324789999999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A-378C-4A84-80E6-2D03CFB4F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09177600"/>
        <c:axId val="209212160"/>
        <c:axId val="0"/>
      </c:bar3DChart>
      <c:catAx>
        <c:axId val="20917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212160"/>
        <c:crosses val="autoZero"/>
        <c:auto val="0"/>
        <c:lblAlgn val="ctr"/>
        <c:lblOffset val="100"/>
        <c:noMultiLvlLbl val="0"/>
      </c:catAx>
      <c:valAx>
        <c:axId val="20921216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177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682091166578058"/>
          <c:y val="2.8487282548735032E-2"/>
          <c:w val="0.32233526053998496"/>
          <c:h val="4.598654478752591E-2"/>
        </c:manualLayout>
      </c:layout>
      <c:overlay val="0"/>
      <c:txPr>
        <a:bodyPr/>
        <a:lstStyle/>
        <a:p>
          <a:pPr>
            <a:defRPr sz="9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048692037579222E-2"/>
          <c:y val="5.8148022455336748E-2"/>
          <c:w val="0.96411791913665212"/>
          <c:h val="0.722184409049629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S.25!$C$13</c:f>
              <c:strCache>
                <c:ptCount val="1"/>
                <c:pt idx="0">
                  <c:v>Efektywność kosztowa (w proc.)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scene3d>
              <a:camera prst="orthographicFront"/>
              <a:lightRig rig="threePt" dir="t"/>
            </a:scene3d>
            <a:sp3d>
              <a:bevelT prst="angle"/>
              <a:bevelB prst="angle"/>
            </a:sp3d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69A-407C-A213-B7BA39DB5C3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69A-407C-A213-B7BA39DB5C3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69A-407C-A213-B7BA39DB5C3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69A-407C-A213-B7BA39DB5C32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69A-407C-A213-B7BA39DB5C3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69A-407C-A213-B7BA39DB5C32}"/>
              </c:ext>
            </c:extLst>
          </c:dPt>
          <c:dLbls>
            <c:dLbl>
              <c:idx val="0"/>
              <c:layout>
                <c:manualLayout>
                  <c:x val="3.7096173978826692E-6"/>
                  <c:y val="9.5399899030771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9A-407C-A213-B7BA39DB5C32}"/>
                </c:ext>
              </c:extLst>
            </c:dLbl>
            <c:dLbl>
              <c:idx val="1"/>
              <c:layout>
                <c:manualLayout>
                  <c:x val="2.4460045663437738E-3"/>
                  <c:y val="8.3564417697988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9A-407C-A213-B7BA39DB5C32}"/>
                </c:ext>
              </c:extLst>
            </c:dLbl>
            <c:dLbl>
              <c:idx val="2"/>
              <c:layout>
                <c:manualLayout>
                  <c:x val="0"/>
                  <c:y val="8.2187087882556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9A-407C-A213-B7BA39DB5C32}"/>
                </c:ext>
              </c:extLst>
            </c:dLbl>
            <c:dLbl>
              <c:idx val="3"/>
              <c:layout>
                <c:manualLayout>
                  <c:x val="4.9663967236659142E-3"/>
                  <c:y val="7.4397367225901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9A-407C-A213-B7BA39DB5C32}"/>
                </c:ext>
              </c:extLst>
            </c:dLbl>
            <c:dLbl>
              <c:idx val="4"/>
              <c:layout>
                <c:manualLayout>
                  <c:x val="4.9663967236659142E-3"/>
                  <c:y val="7.75881230356372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9A-407C-A213-B7BA39DB5C32}"/>
                </c:ext>
              </c:extLst>
            </c:dLbl>
            <c:dLbl>
              <c:idx val="5"/>
              <c:layout>
                <c:manualLayout>
                  <c:x val="2.4832959833434275E-3"/>
                  <c:y val="7.45101055166312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9A-407C-A213-B7BA39DB5C32}"/>
                </c:ext>
              </c:extLst>
            </c:dLbl>
            <c:dLbl>
              <c:idx val="6"/>
              <c:layout>
                <c:manualLayout>
                  <c:x val="1.0347880109851533E-5"/>
                  <c:y val="7.8833779188511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9A-407C-A213-B7BA39DB5C32}"/>
                </c:ext>
              </c:extLst>
            </c:dLbl>
            <c:dLbl>
              <c:idx val="7"/>
              <c:layout>
                <c:manualLayout>
                  <c:x val="-1.947256986709387E-7"/>
                  <c:y val="9.05235758622925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9A-407C-A213-B7BA39DB5C32}"/>
                </c:ext>
              </c:extLst>
            </c:dLbl>
            <c:dLbl>
              <c:idx val="8"/>
              <c:layout>
                <c:manualLayout>
                  <c:x val="2.4730163731209215E-3"/>
                  <c:y val="7.6521345926407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9A-407C-A213-B7BA39DB5C32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8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S.25!$B$14:$B$22</c:f>
              <c:strCache>
                <c:ptCount val="9"/>
                <c:pt idx="0">
                  <c:v>Dofinansowanie działalności gospodarczej</c:v>
                </c:pt>
                <c:pt idx="1">
                  <c:v>Refundacja kosztów wyposażenia lub doposażenia miejsca pracy</c:v>
                </c:pt>
                <c:pt idx="2">
                  <c:v>Roboty publiczne</c:v>
                </c:pt>
                <c:pt idx="3">
                  <c:v>Razem 6 form (do por.)</c:v>
                </c:pt>
                <c:pt idx="4">
                  <c:v>Razem 7 podstawowych form</c:v>
                </c:pt>
                <c:pt idx="5">
                  <c:v>Staże</c:v>
                </c:pt>
                <c:pt idx="6">
                  <c:v>Bon na zasiedlenie</c:v>
                </c:pt>
                <c:pt idx="7">
                  <c:v>Prace interwencyjne</c:v>
                </c:pt>
                <c:pt idx="8">
                  <c:v>Szkolenia</c:v>
                </c:pt>
              </c:strCache>
            </c:strRef>
          </c:cat>
          <c:val>
            <c:numRef>
              <c:f>S.25!$C$14:$C$22</c:f>
              <c:numCache>
                <c:formatCode>#\ ##0.0</c:formatCode>
                <c:ptCount val="9"/>
                <c:pt idx="0">
                  <c:v>34538.310051078312</c:v>
                </c:pt>
                <c:pt idx="1">
                  <c:v>30333.703615857827</c:v>
                </c:pt>
                <c:pt idx="2">
                  <c:v>22106.118038490007</c:v>
                </c:pt>
                <c:pt idx="3">
                  <c:v>20887.82594161715</c:v>
                </c:pt>
                <c:pt idx="4">
                  <c:v>20408.839881800512</c:v>
                </c:pt>
                <c:pt idx="5">
                  <c:v>18392.965695890409</c:v>
                </c:pt>
                <c:pt idx="6">
                  <c:v>12881.823491204332</c:v>
                </c:pt>
                <c:pt idx="7">
                  <c:v>12347.160524385772</c:v>
                </c:pt>
                <c:pt idx="8">
                  <c:v>10098.810530303028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69A-407C-A213-B7BA39DB5C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207736192"/>
        <c:axId val="209263616"/>
      </c:barChart>
      <c:catAx>
        <c:axId val="20773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55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9263616"/>
        <c:crosses val="autoZero"/>
        <c:auto val="1"/>
        <c:lblAlgn val="ctr"/>
        <c:lblOffset val="100"/>
        <c:noMultiLvlLbl val="0"/>
      </c:catAx>
      <c:valAx>
        <c:axId val="209263616"/>
        <c:scaling>
          <c:orientation val="minMax"/>
        </c:scaling>
        <c:delete val="0"/>
        <c:axPos val="l"/>
        <c:majorGridlines>
          <c:spPr>
            <a:ln>
              <a:solidFill>
                <a:schemeClr val="tx2">
                  <a:lumMod val="75000"/>
                  <a:alpha val="57000"/>
                </a:schemeClr>
              </a:solidFill>
            </a:ln>
          </c:spPr>
        </c:majorGridlines>
        <c:minorGridlines>
          <c:spPr>
            <a:ln>
              <a:solidFill>
                <a:schemeClr val="tx2">
                  <a:lumMod val="60000"/>
                  <a:lumOff val="40000"/>
                  <a:alpha val="33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077361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048692037579222E-2"/>
          <c:y val="5.8148022455336748E-2"/>
          <c:w val="0.96411791913665212"/>
          <c:h val="0.720014306299558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EZ.25!$C$15:$C$17</c:f>
              <c:strCache>
                <c:ptCount val="3"/>
                <c:pt idx="0">
                  <c:v>Efektywność</c:v>
                </c:pt>
                <c:pt idx="1">
                  <c:v>zatrudnieniowa</c:v>
                </c:pt>
                <c:pt idx="2">
                  <c:v>(w proc.)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  <a:alpha val="54000"/>
              </a:schemeClr>
            </a:solidFill>
            <a:ln w="3175"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7C1-47DD-8899-8F419191986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7C1-47DD-8899-8F419191986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7C1-47DD-8899-8F419191986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7C1-47DD-8899-8F419191986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7C1-47DD-8899-8F419191986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7C1-47DD-8899-8F419191986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7C1-47DD-8899-8F419191986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EZ.25!$B$18:$B$25</c:f>
              <c:strCache>
                <c:ptCount val="8"/>
                <c:pt idx="0">
                  <c:v>Dofinansowanie działalności gospodarczej</c:v>
                </c:pt>
                <c:pt idx="1">
                  <c:v>Roboty publiczne</c:v>
                </c:pt>
                <c:pt idx="2">
                  <c:v>Prace interwencyjne</c:v>
                </c:pt>
                <c:pt idx="3">
                  <c:v>Refundacja kosztów wyposażenia lub doposażenia miejsca pracy</c:v>
                </c:pt>
                <c:pt idx="4">
                  <c:v>Razem 6 podstawowych form</c:v>
                </c:pt>
                <c:pt idx="5">
                  <c:v>Razem 7 podstawowych form</c:v>
                </c:pt>
                <c:pt idx="6">
                  <c:v>Bon na zasiedlenie</c:v>
                </c:pt>
                <c:pt idx="7">
                  <c:v>Staże</c:v>
                </c:pt>
              </c:strCache>
            </c:strRef>
          </c:cat>
          <c:val>
            <c:numRef>
              <c:f>EZ.25!$C$18:$C$25</c:f>
              <c:numCache>
                <c:formatCode>#\ ##0.0</c:formatCode>
                <c:ptCount val="8"/>
                <c:pt idx="0">
                  <c:v>97.348066298342545</c:v>
                </c:pt>
                <c:pt idx="1">
                  <c:v>96.568977841315231</c:v>
                </c:pt>
                <c:pt idx="2">
                  <c:v>93.262653898768804</c:v>
                </c:pt>
                <c:pt idx="3">
                  <c:v>89.86486486486487</c:v>
                </c:pt>
                <c:pt idx="4">
                  <c:v>86.175422974176314</c:v>
                </c:pt>
                <c:pt idx="5">
                  <c:v>85.962836662259036</c:v>
                </c:pt>
                <c:pt idx="6">
                  <c:v>82.754759238521842</c:v>
                </c:pt>
                <c:pt idx="7">
                  <c:v>82.448610797379715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C1-47DD-8899-8F41919198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210215680"/>
        <c:axId val="210231296"/>
      </c:barChart>
      <c:catAx>
        <c:axId val="2102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0231296"/>
        <c:crosses val="autoZero"/>
        <c:auto val="1"/>
        <c:lblAlgn val="ctr"/>
        <c:lblOffset val="100"/>
        <c:noMultiLvlLbl val="0"/>
      </c:catAx>
      <c:valAx>
        <c:axId val="210231296"/>
        <c:scaling>
          <c:orientation val="minMax"/>
          <c:max val="120"/>
          <c:min val="0"/>
        </c:scaling>
        <c:delete val="0"/>
        <c:axPos val="l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min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7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0215680"/>
        <c:crosses val="autoZero"/>
        <c:crossBetween val="between"/>
        <c:majorUnit val="10"/>
        <c:minorUnit val="2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rgbClr val="F9F9F9">
            <a:alpha val="24706"/>
          </a:srgb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929541452612178E-2"/>
          <c:y val="6.62990048572904E-2"/>
          <c:w val="0.90026098563253909"/>
          <c:h val="0.852254939950320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'c'!$G$2</c:f>
              <c:strCache>
                <c:ptCount val="1"/>
                <c:pt idx="0">
                  <c:v>Wskaźnik efekt. kosztowej, Podkarpackie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7.9728646916363234E-4"/>
                  <c:y val="0.2001194563834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F7-488B-8996-15709F8D639D}"/>
                </c:ext>
              </c:extLst>
            </c:dLbl>
            <c:dLbl>
              <c:idx val="1"/>
              <c:layout>
                <c:manualLayout>
                  <c:x val="1.0919488450133836E-3"/>
                  <c:y val="0.196711722933224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F7-488B-8996-15709F8D639D}"/>
                </c:ext>
              </c:extLst>
            </c:dLbl>
            <c:dLbl>
              <c:idx val="2"/>
              <c:layout>
                <c:manualLayout>
                  <c:x val="-9.4232028941243777E-4"/>
                  <c:y val="0.142942468845294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F7-488B-8996-15709F8D639D}"/>
                </c:ext>
              </c:extLst>
            </c:dLbl>
            <c:dLbl>
              <c:idx val="3"/>
              <c:layout>
                <c:manualLayout>
                  <c:x val="-9.4232028941239126E-4"/>
                  <c:y val="0.190589958460393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F7-488B-8996-15709F8D639D}"/>
                </c:ext>
              </c:extLst>
            </c:dLbl>
            <c:dLbl>
              <c:idx val="4"/>
              <c:layout>
                <c:manualLayout>
                  <c:x val="4.7118012181641342E-3"/>
                  <c:y val="0.195354707421903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F7-488B-8996-15709F8D639D}"/>
                </c:ext>
              </c:extLst>
            </c:dLbl>
            <c:dLbl>
              <c:idx val="5"/>
              <c:layout>
                <c:manualLayout>
                  <c:x val="4.703810374073387E-3"/>
                  <c:y val="0.201476471894734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F7-488B-8996-15709F8D639D}"/>
                </c:ext>
              </c:extLst>
            </c:dLbl>
            <c:dLbl>
              <c:idx val="6"/>
              <c:layout>
                <c:manualLayout>
                  <c:x val="3.5519301983786976E-3"/>
                  <c:y val="0.195354707421903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F7-488B-8996-15709F8D639D}"/>
                </c:ext>
              </c:extLst>
            </c:dLbl>
            <c:dLbl>
              <c:idx val="7"/>
              <c:layout>
                <c:manualLayout>
                  <c:x val="7.248894217006154E-3"/>
                  <c:y val="0.197405800537853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F7-488B-8996-15709F8D639D}"/>
                </c:ext>
              </c:extLst>
            </c:dLbl>
            <c:dLbl>
              <c:idx val="8"/>
              <c:layout>
                <c:manualLayout>
                  <c:x val="-9.4232028941248428E-4"/>
                  <c:y val="0.198762440872091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F7-488B-8996-15709F8D639D}"/>
                </c:ext>
              </c:extLst>
            </c:dLbl>
            <c:dLbl>
              <c:idx val="9"/>
              <c:layout>
                <c:manualLayout>
                  <c:x val="2.3920591785931678E-3"/>
                  <c:y val="0.200119456383412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F7-488B-8996-15709F8D639D}"/>
                </c:ext>
              </c:extLst>
            </c:dLbl>
            <c:dLbl>
              <c:idx val="10"/>
              <c:layout>
                <c:manualLayout>
                  <c:x val="5.5090876873277669E-3"/>
                  <c:y val="0.200119456383412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F7-488B-8996-15709F8D639D}"/>
                </c:ext>
              </c:extLst>
            </c:dLbl>
            <c:dLbl>
              <c:idx val="11"/>
              <c:layout>
                <c:manualLayout>
                  <c:x val="0"/>
                  <c:y val="0.195354707421903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D3-4AED-BB55-274FE53ADEDF}"/>
                </c:ext>
              </c:extLst>
            </c:dLbl>
            <c:dLbl>
              <c:idx val="12"/>
              <c:layout>
                <c:manualLayout>
                  <c:x val="5.0741859976837604E-3"/>
                  <c:y val="0.185825209498883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D3-4AED-BB55-274FE53ADEDF}"/>
                </c:ext>
              </c:extLst>
            </c:dLbl>
            <c:dLbl>
              <c:idx val="13"/>
              <c:layout>
                <c:manualLayout>
                  <c:x val="5.0741859976838541E-3"/>
                  <c:y val="0.200119456383412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D3-4AED-BB55-274FE53ADEDF}"/>
                </c:ext>
              </c:extLst>
            </c:dLbl>
            <c:dLbl>
              <c:idx val="14"/>
              <c:layout>
                <c:manualLayout>
                  <c:x val="2.537092998841927E-3"/>
                  <c:y val="0.181060460537373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D3-4AED-BB55-274FE53ADEDF}"/>
                </c:ext>
              </c:extLst>
            </c:dLbl>
            <c:dLbl>
              <c:idx val="15"/>
              <c:layout>
                <c:manualLayout>
                  <c:x val="2.5579532506852594E-3"/>
                  <c:y val="0.167158049910498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B7-45AA-8EA3-0A5E28BBEFCE}"/>
                </c:ext>
              </c:extLst>
            </c:dLbl>
            <c:dLbl>
              <c:idx val="16"/>
              <c:layout>
                <c:manualLayout>
                  <c:x val="5.1159065013705188E-3"/>
                  <c:y val="0.171444153754356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B7-45AA-8EA3-0A5E28BBEFCE}"/>
                </c:ext>
              </c:extLst>
            </c:dLbl>
            <c:dLbl>
              <c:idx val="17"/>
              <c:layout>
                <c:manualLayout>
                  <c:x val="2.5579532506852594E-3"/>
                  <c:y val="0.175730257598215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AA-44ED-8AFB-65082D752A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'c'!$B$4:$B$21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'c'!$G$4:$G$21</c:f>
              <c:numCache>
                <c:formatCode>#,##0.00</c:formatCode>
                <c:ptCount val="18"/>
                <c:pt idx="0">
                  <c:v>11011</c:v>
                </c:pt>
                <c:pt idx="1">
                  <c:v>13435.373352855049</c:v>
                </c:pt>
                <c:pt idx="2">
                  <c:v>15720.32</c:v>
                </c:pt>
                <c:pt idx="3">
                  <c:v>9972.18</c:v>
                </c:pt>
                <c:pt idx="4">
                  <c:v>11274.32</c:v>
                </c:pt>
                <c:pt idx="5">
                  <c:v>10422.09</c:v>
                </c:pt>
                <c:pt idx="6">
                  <c:v>11068.05</c:v>
                </c:pt>
                <c:pt idx="7">
                  <c:v>13907.53</c:v>
                </c:pt>
                <c:pt idx="8">
                  <c:v>11609.894349217482</c:v>
                </c:pt>
                <c:pt idx="9">
                  <c:v>11688.893583063418</c:v>
                </c:pt>
                <c:pt idx="10">
                  <c:v>10588.083324823854</c:v>
                </c:pt>
                <c:pt idx="11">
                  <c:v>10436.921635966282</c:v>
                </c:pt>
                <c:pt idx="12">
                  <c:v>11096.925698199866</c:v>
                </c:pt>
                <c:pt idx="13">
                  <c:v>15320.115876910426</c:v>
                </c:pt>
                <c:pt idx="14">
                  <c:v>17604.605179970695</c:v>
                </c:pt>
                <c:pt idx="15">
                  <c:v>18474.770064839573</c:v>
                </c:pt>
                <c:pt idx="16">
                  <c:v>19103.241375227688</c:v>
                </c:pt>
                <c:pt idx="17">
                  <c:v>20887.82594161715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B-19F7-488B-8996-15709F8D6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09958016"/>
        <c:axId val="209959552"/>
        <c:axId val="0"/>
      </c:bar3DChart>
      <c:catAx>
        <c:axId val="20995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pl-PL"/>
          </a:p>
        </c:txPr>
        <c:crossAx val="209959552"/>
        <c:crosses val="autoZero"/>
        <c:auto val="0"/>
        <c:lblAlgn val="ctr"/>
        <c:lblOffset val="100"/>
        <c:noMultiLvlLbl val="0"/>
      </c:catAx>
      <c:valAx>
        <c:axId val="209959552"/>
        <c:scaling>
          <c:orientation val="minMax"/>
          <c:max val="2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0000FF">
                <a:alpha val="42000"/>
              </a:srgbClr>
            </a:solidFill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958016"/>
        <c:crosses val="autoZero"/>
        <c:crossBetween val="between"/>
        <c:majorUnit val="2000"/>
        <c:minorUnit val="200"/>
      </c:valAx>
    </c:plotArea>
    <c:legend>
      <c:legendPos val="r"/>
      <c:layout>
        <c:manualLayout>
          <c:xMode val="edge"/>
          <c:yMode val="edge"/>
          <c:x val="0.23260959369430284"/>
          <c:y val="3.5764667924823759E-2"/>
          <c:w val="0.55248214468572154"/>
          <c:h val="7.9009818958628825E-2"/>
        </c:manualLayout>
      </c:layout>
      <c:overlay val="0"/>
      <c:txPr>
        <a:bodyPr/>
        <a:lstStyle/>
        <a:p>
          <a:pPr>
            <a:defRPr sz="8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rgbClr val="F9F9F9">
            <a:alpha val="24706"/>
          </a:srgb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9753466367639597E-2"/>
          <c:y val="6.62990048572904E-2"/>
          <c:w val="0.92243696149207965"/>
          <c:h val="0.860706935067597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'c'!$F$2</c:f>
              <c:strCache>
                <c:ptCount val="1"/>
                <c:pt idx="0">
                  <c:v>Wskaźnik efektywności zatrudnieniowej, Podkarpackie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8.9258527081973783E-4"/>
                  <c:y val="0.134674420221943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25-449B-93C4-50492004CAB9}"/>
                </c:ext>
              </c:extLst>
            </c:dLbl>
            <c:dLbl>
              <c:idx val="1"/>
              <c:layout>
                <c:manualLayout>
                  <c:x val="8.925852708197001E-4"/>
                  <c:y val="0.130468690494719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25-449B-93C4-50492004CAB9}"/>
                </c:ext>
              </c:extLst>
            </c:dLbl>
            <c:dLbl>
              <c:idx val="2"/>
              <c:layout>
                <c:manualLayout>
                  <c:x val="-3.773079214250601E-17"/>
                  <c:y val="0.134674420221943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25-449B-93C4-50492004CAB9}"/>
                </c:ext>
              </c:extLst>
            </c:dLbl>
            <c:dLbl>
              <c:idx val="3"/>
              <c:layout>
                <c:manualLayout>
                  <c:x val="-2.0580669824638484E-3"/>
                  <c:y val="0.129752722961628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25-449B-93C4-50492004CAB9}"/>
                </c:ext>
              </c:extLst>
            </c:dLbl>
            <c:dLbl>
              <c:idx val="4"/>
              <c:layout>
                <c:manualLayout>
                  <c:x val="2.9506522532835484E-3"/>
                  <c:y val="0.13022992426374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25-449B-93C4-50492004CAB9}"/>
                </c:ext>
              </c:extLst>
            </c:dLbl>
            <c:dLbl>
              <c:idx val="5"/>
              <c:layout>
                <c:manualLayout>
                  <c:x val="-1.6205251837969867E-7"/>
                  <c:y val="0.142847113445419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25-449B-93C4-50492004CAB9}"/>
                </c:ext>
              </c:extLst>
            </c:dLbl>
            <c:dLbl>
              <c:idx val="6"/>
              <c:layout>
                <c:manualLayout>
                  <c:x val="1.7850084891211713E-3"/>
                  <c:y val="0.142369912143299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25-449B-93C4-50492004CAB9}"/>
                </c:ext>
              </c:extLst>
            </c:dLbl>
            <c:dLbl>
              <c:idx val="7"/>
              <c:layout>
                <c:manualLayout>
                  <c:x val="1.7850084891211713E-3"/>
                  <c:y val="0.121102497276210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25-449B-93C4-50492004CAB9}"/>
                </c:ext>
              </c:extLst>
            </c:dLbl>
            <c:dLbl>
              <c:idx val="8"/>
              <c:layout>
                <c:manualLayout>
                  <c:x val="5.9011424540487177E-3"/>
                  <c:y val="0.129752722961628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25-449B-93C4-50492004CAB9}"/>
                </c:ext>
              </c:extLst>
            </c:dLbl>
            <c:dLbl>
              <c:idx val="9"/>
              <c:layout>
                <c:manualLayout>
                  <c:x val="6.7937277248684555E-3"/>
                  <c:y val="0.125546993234404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25-449B-93C4-50492004CAB9}"/>
                </c:ext>
              </c:extLst>
            </c:dLbl>
            <c:dLbl>
              <c:idx val="10"/>
              <c:layout>
                <c:manualLayout>
                  <c:x val="5.6280839607062288E-3"/>
                  <c:y val="0.139118916180137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425-449B-93C4-50492004CAB9}"/>
                </c:ext>
              </c:extLst>
            </c:dLbl>
            <c:dLbl>
              <c:idx val="11"/>
              <c:layout>
                <c:manualLayout>
                  <c:x val="2.9506522532835484E-3"/>
                  <c:y val="0.134913186452914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25-449B-93C4-50492004CAB9}"/>
                </c:ext>
              </c:extLst>
            </c:dLbl>
            <c:dLbl>
              <c:idx val="12"/>
              <c:layout>
                <c:manualLayout>
                  <c:x val="6.5206692315258911E-3"/>
                  <c:y val="0.12205723104027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425-449B-93C4-50492004CAB9}"/>
                </c:ext>
              </c:extLst>
            </c:dLbl>
            <c:dLbl>
              <c:idx val="13"/>
              <c:layout>
                <c:manualLayout>
                  <c:x val="4.7356607424047202E-3"/>
                  <c:y val="0.13515195268388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25-449B-93C4-50492004CAB9}"/>
                </c:ext>
              </c:extLst>
            </c:dLbl>
            <c:dLbl>
              <c:idx val="14"/>
              <c:layout>
                <c:manualLayout>
                  <c:x val="6.1913785143316814E-3"/>
                  <c:y val="0.128695329653043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BC-49FB-A89C-419B998E96E8}"/>
                </c:ext>
              </c:extLst>
            </c:dLbl>
            <c:dLbl>
              <c:idx val="15"/>
              <c:layout>
                <c:manualLayout>
                  <c:x val="4.1504542950010666E-3"/>
                  <c:y val="0.127249331569068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DE-40B8-97C8-CDB1C19D3A02}"/>
                </c:ext>
              </c:extLst>
            </c:dLbl>
            <c:dLbl>
              <c:idx val="16"/>
              <c:layout>
                <c:manualLayout>
                  <c:x val="6.1855680145414425E-3"/>
                  <c:y val="0.118254755646386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DE-40B8-97C8-CDB1C19D3A02}"/>
                </c:ext>
              </c:extLst>
            </c:dLbl>
            <c:dLbl>
              <c:idx val="17"/>
              <c:layout>
                <c:manualLayout>
                  <c:x val="4.1504542950010666E-3"/>
                  <c:y val="0.107969129816179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9A-4A3A-80D4-5AEE2BF3DC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'c'!$B$4:$B$21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'c'!$F$4:$F$21</c:f>
              <c:numCache>
                <c:formatCode>#,##0.00</c:formatCode>
                <c:ptCount val="18"/>
                <c:pt idx="0">
                  <c:v>52.26</c:v>
                </c:pt>
                <c:pt idx="1">
                  <c:v>51.78</c:v>
                </c:pt>
                <c:pt idx="2">
                  <c:v>53.1</c:v>
                </c:pt>
                <c:pt idx="3">
                  <c:v>54.9</c:v>
                </c:pt>
                <c:pt idx="4">
                  <c:v>63.1</c:v>
                </c:pt>
                <c:pt idx="5">
                  <c:v>66.7</c:v>
                </c:pt>
                <c:pt idx="6">
                  <c:v>76.5</c:v>
                </c:pt>
                <c:pt idx="7">
                  <c:v>74.3</c:v>
                </c:pt>
                <c:pt idx="8">
                  <c:v>80.599999999999994</c:v>
                </c:pt>
                <c:pt idx="9">
                  <c:v>86.1</c:v>
                </c:pt>
                <c:pt idx="10">
                  <c:v>88.2</c:v>
                </c:pt>
                <c:pt idx="11">
                  <c:v>89.2</c:v>
                </c:pt>
                <c:pt idx="12">
                  <c:v>88.49482103054936</c:v>
                </c:pt>
                <c:pt idx="13">
                  <c:v>89.471425067451563</c:v>
                </c:pt>
                <c:pt idx="14">
                  <c:v>86.64716272907927</c:v>
                </c:pt>
                <c:pt idx="15">
                  <c:v>86.041295220567093</c:v>
                </c:pt>
                <c:pt idx="16">
                  <c:v>87.501660247044768</c:v>
                </c:pt>
                <c:pt idx="17">
                  <c:v>86.175422974176314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E-1425-449B-93C4-50492004C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10009088"/>
        <c:axId val="210010880"/>
        <c:axId val="0"/>
      </c:bar3DChart>
      <c:catAx>
        <c:axId val="21000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10010880"/>
        <c:crosses val="autoZero"/>
        <c:auto val="0"/>
        <c:lblAlgn val="ctr"/>
        <c:lblOffset val="100"/>
        <c:noMultiLvlLbl val="0"/>
      </c:catAx>
      <c:valAx>
        <c:axId val="21001088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0000FF">
                <a:alpha val="42000"/>
              </a:srgbClr>
            </a:solidFill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10009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696369104148946"/>
          <c:y val="6.480576790766393E-2"/>
          <c:w val="0.59751573364069066"/>
          <c:h val="7.9009818958628825E-2"/>
        </c:manualLayout>
      </c:layout>
      <c:overlay val="0"/>
      <c:txPr>
        <a:bodyPr/>
        <a:lstStyle/>
        <a:p>
          <a:pPr>
            <a:defRPr sz="8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rgbClr val="F9F9F9">
            <a:alpha val="24706"/>
          </a:srgb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5079848969761095E-2"/>
          <c:y val="6.0373053368328967E-2"/>
          <c:w val="0.92421435189230983"/>
          <c:h val="0.825975060460112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'c'!$F$2</c:f>
              <c:strCache>
                <c:ptCount val="1"/>
                <c:pt idx="0">
                  <c:v>Wskaźnik efektywności zatrudnieniowej, Podkarpackie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-3.3649792994571454E-3"/>
                  <c:y val="0.207323884514435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60-4D3B-8890-3720A3CE726D}"/>
                </c:ext>
              </c:extLst>
            </c:dLbl>
            <c:dLbl>
              <c:idx val="1"/>
              <c:layout>
                <c:manualLayout>
                  <c:x val="2.2171865518963415E-3"/>
                  <c:y val="0.202356838728492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60-4D3B-8890-3720A3CE726D}"/>
                </c:ext>
              </c:extLst>
            </c:dLbl>
            <c:dLbl>
              <c:idx val="2"/>
              <c:layout>
                <c:manualLayout>
                  <c:x val="6.345481589672756E-3"/>
                  <c:y val="0.164283464566929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60-4D3B-8890-3720A3CE726D}"/>
                </c:ext>
              </c:extLst>
            </c:dLbl>
            <c:dLbl>
              <c:idx val="3"/>
              <c:layout>
                <c:manualLayout>
                  <c:x val="-2.7197989550387428E-4"/>
                  <c:y val="0.177239778361038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60-4D3B-8890-3720A3CE726D}"/>
                </c:ext>
              </c:extLst>
            </c:dLbl>
            <c:dLbl>
              <c:idx val="4"/>
              <c:layout>
                <c:manualLayout>
                  <c:x val="3.1445493940190647E-3"/>
                  <c:y val="0.16533146689997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60-4D3B-8890-3720A3CE726D}"/>
                </c:ext>
              </c:extLst>
            </c:dLbl>
            <c:dLbl>
              <c:idx val="5"/>
              <c:layout>
                <c:manualLayout>
                  <c:x val="5.6981533290015769E-3"/>
                  <c:y val="0.185737649460484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60-4D3B-8890-3720A3CE726D}"/>
                </c:ext>
              </c:extLst>
            </c:dLbl>
            <c:dLbl>
              <c:idx val="6"/>
              <c:layout>
                <c:manualLayout>
                  <c:x val="1.2661697820401982E-2"/>
                  <c:y val="0.191663575386410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60-4D3B-8890-3720A3CE726D}"/>
                </c:ext>
              </c:extLst>
            </c:dLbl>
            <c:dLbl>
              <c:idx val="7"/>
              <c:layout>
                <c:manualLayout>
                  <c:x val="1.0229451153699517E-2"/>
                  <c:y val="0.213383260425780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41-4167-AFB9-6435FA714B16}"/>
                </c:ext>
              </c:extLst>
            </c:dLbl>
            <c:dLbl>
              <c:idx val="8"/>
              <c:layout>
                <c:manualLayout>
                  <c:x val="5.7287073645464134E-3"/>
                  <c:y val="0.15110499889635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DE-49DA-978C-A56E12410BE8}"/>
                </c:ext>
              </c:extLst>
            </c:dLbl>
            <c:dLbl>
              <c:idx val="9"/>
              <c:layout>
                <c:manualLayout>
                  <c:x val="-1.0502508842456923E-16"/>
                  <c:y val="0.177157584912967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DE-49DA-978C-A56E12410BE8}"/>
                </c:ext>
              </c:extLst>
            </c:dLbl>
            <c:dLbl>
              <c:idx val="10"/>
              <c:layout>
                <c:manualLayout>
                  <c:x val="2.8643536822731542E-3"/>
                  <c:y val="0.156315451967051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76-48CB-AE20-60759F5F8C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'c'!$B$11:$B$21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'c'!$F$11:$F$21</c:f>
              <c:numCache>
                <c:formatCode>#,##0.00</c:formatCode>
                <c:ptCount val="11"/>
                <c:pt idx="0">
                  <c:v>74.3</c:v>
                </c:pt>
                <c:pt idx="1">
                  <c:v>80.599999999999994</c:v>
                </c:pt>
                <c:pt idx="2">
                  <c:v>86.1</c:v>
                </c:pt>
                <c:pt idx="3">
                  <c:v>88.2</c:v>
                </c:pt>
                <c:pt idx="4">
                  <c:v>89.2</c:v>
                </c:pt>
                <c:pt idx="5">
                  <c:v>88.49482103054936</c:v>
                </c:pt>
                <c:pt idx="6">
                  <c:v>89.471425067451563</c:v>
                </c:pt>
                <c:pt idx="7">
                  <c:v>86.64716272907927</c:v>
                </c:pt>
                <c:pt idx="8">
                  <c:v>86.041295220567093</c:v>
                </c:pt>
                <c:pt idx="9">
                  <c:v>87.501660247044768</c:v>
                </c:pt>
                <c:pt idx="10">
                  <c:v>86.175422974176314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7-6360-4D3B-8890-3720A3CE7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10314752"/>
        <c:axId val="210316288"/>
        <c:axId val="0"/>
      </c:bar3DChart>
      <c:catAx>
        <c:axId val="21031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10316288"/>
        <c:crosses val="autoZero"/>
        <c:auto val="0"/>
        <c:lblAlgn val="ctr"/>
        <c:lblOffset val="100"/>
        <c:noMultiLvlLbl val="0"/>
      </c:catAx>
      <c:valAx>
        <c:axId val="21031628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0000FF">
                <a:alpha val="42000"/>
              </a:srgbClr>
            </a:solidFill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10314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627507719094863"/>
          <c:y val="8.3450330642190294E-4"/>
          <c:w val="0.72140109597786761"/>
          <c:h val="7.9009818958628825E-2"/>
        </c:manualLayout>
      </c:layout>
      <c:overlay val="0"/>
      <c:txPr>
        <a:bodyPr/>
        <a:lstStyle/>
        <a:p>
          <a:pPr>
            <a:defRPr sz="800" b="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rgbClr val="F9F9F9">
            <a:alpha val="24706"/>
          </a:srgb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345663187450399E-2"/>
          <c:y val="6.6299043809234459E-2"/>
          <c:w val="0.90026098563253909"/>
          <c:h val="0.7999022523694335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'c'!$E$2</c:f>
              <c:strCache>
                <c:ptCount val="1"/>
                <c:pt idx="0">
                  <c:v>kwoty wyd. w woj. podkarpackim (w tys. zł.)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1.0673240712124371E-3"/>
                  <c:y val="0.142464524089965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4A-4991-8E00-A818C2AE6485}"/>
                </c:ext>
              </c:extLst>
            </c:dLbl>
            <c:dLbl>
              <c:idx val="1"/>
              <c:layout>
                <c:manualLayout>
                  <c:x val="-1.1751345834561616E-3"/>
                  <c:y val="0.212927336445200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4A-4991-8E00-A818C2AE6485}"/>
                </c:ext>
              </c:extLst>
            </c:dLbl>
            <c:dLbl>
              <c:idx val="2"/>
              <c:layout>
                <c:manualLayout>
                  <c:x val="2.1346481424248743E-3"/>
                  <c:y val="0.211058554207356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4A-4991-8E00-A818C2AE6485}"/>
                </c:ext>
              </c:extLst>
            </c:dLbl>
            <c:dLbl>
              <c:idx val="3"/>
              <c:layout>
                <c:manualLayout>
                  <c:x val="2.1346481424248743E-3"/>
                  <c:y val="0.226887945772908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4A-4991-8E00-A818C2AE6485}"/>
                </c:ext>
              </c:extLst>
            </c:dLbl>
            <c:dLbl>
              <c:idx val="4"/>
              <c:layout>
                <c:manualLayout>
                  <c:x val="4.9817913719057026E-3"/>
                  <c:y val="0.226887945772908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4A-4991-8E00-A818C2AE6485}"/>
                </c:ext>
              </c:extLst>
            </c:dLbl>
            <c:dLbl>
              <c:idx val="5"/>
              <c:layout>
                <c:manualLayout>
                  <c:x val="2.5715644288861056E-3"/>
                  <c:y val="0.223480264155568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4A-4991-8E00-A818C2AE6485}"/>
                </c:ext>
              </c:extLst>
            </c:dLbl>
            <c:dLbl>
              <c:idx val="6"/>
              <c:layout>
                <c:manualLayout>
                  <c:x val="4.091881792771551E-3"/>
                  <c:y val="0.23216440962809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4A-4991-8E00-A818C2AE6485}"/>
                </c:ext>
              </c:extLst>
            </c:dLbl>
            <c:dLbl>
              <c:idx val="7"/>
              <c:layout>
                <c:manualLayout>
                  <c:x val="4.9817913719057026E-3"/>
                  <c:y val="0.228427260621999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4A-4991-8E00-A818C2AE6485}"/>
                </c:ext>
              </c:extLst>
            </c:dLbl>
            <c:dLbl>
              <c:idx val="8"/>
              <c:layout>
                <c:manualLayout>
                  <c:x val="2.1346481424248743E-3"/>
                  <c:y val="0.21974269967988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4A-4991-8E00-A818C2AE6485}"/>
                </c:ext>
              </c:extLst>
            </c:dLbl>
            <c:dLbl>
              <c:idx val="9"/>
              <c:layout>
                <c:manualLayout>
                  <c:x val="3.2021613548868615E-3"/>
                  <c:y val="0.23744087348327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4A-4991-8E00-A818C2AE6485}"/>
                </c:ext>
              </c:extLst>
            </c:dLbl>
            <c:dLbl>
              <c:idx val="10"/>
              <c:layout>
                <c:manualLayout>
                  <c:x val="3.6470215738292062E-3"/>
                  <c:y val="0.221611481917724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4A-4991-8E00-A818C2AE6485}"/>
                </c:ext>
              </c:extLst>
            </c:dLbl>
            <c:dLbl>
              <c:idx val="11"/>
              <c:layout>
                <c:manualLayout>
                  <c:x val="0"/>
                  <c:y val="0.211058554207356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7C-41FA-835A-624122FBE9BC}"/>
                </c:ext>
              </c:extLst>
            </c:dLbl>
            <c:dLbl>
              <c:idx val="12"/>
              <c:layout>
                <c:manualLayout>
                  <c:x val="4.8041877385778678E-3"/>
                  <c:y val="0.205782090352172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7C-41FA-835A-624122FBE9BC}"/>
                </c:ext>
              </c:extLst>
            </c:dLbl>
            <c:dLbl>
              <c:idx val="13"/>
              <c:layout>
                <c:manualLayout>
                  <c:x val="-1.6850786395278031E-16"/>
                  <c:y val="0.195158068256429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15-4220-AA67-F65CC4E7371D}"/>
                </c:ext>
              </c:extLst>
            </c:dLbl>
            <c:dLbl>
              <c:idx val="14"/>
              <c:layout>
                <c:manualLayout>
                  <c:x val="4.5957221064544867E-3"/>
                  <c:y val="0.18185183632985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15-4220-AA67-F65CC4E7371D}"/>
                </c:ext>
              </c:extLst>
            </c:dLbl>
            <c:dLbl>
              <c:idx val="15"/>
              <c:layout>
                <c:manualLayout>
                  <c:x val="6.9384246680118588E-3"/>
                  <c:y val="0.179088602188950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37-4A51-AE44-E5C4410082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'c'!$B$6:$B$21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'c'!$E$6:$E$21</c:f>
              <c:numCache>
                <c:formatCode>#\ ##0.0</c:formatCode>
                <c:ptCount val="16"/>
                <c:pt idx="0">
                  <c:v>386138.3</c:v>
                </c:pt>
                <c:pt idx="1">
                  <c:v>153860.79999999999</c:v>
                </c:pt>
                <c:pt idx="2">
                  <c:v>194132.6</c:v>
                </c:pt>
                <c:pt idx="3">
                  <c:v>235424.7</c:v>
                </c:pt>
                <c:pt idx="4">
                  <c:v>269440.7</c:v>
                </c:pt>
                <c:pt idx="5">
                  <c:v>278247.90000000002</c:v>
                </c:pt>
                <c:pt idx="6">
                  <c:v>264833.30000000005</c:v>
                </c:pt>
                <c:pt idx="7">
                  <c:v>249008.5</c:v>
                </c:pt>
                <c:pt idx="8">
                  <c:v>207378.2</c:v>
                </c:pt>
                <c:pt idx="9">
                  <c:v>167147.29999999999</c:v>
                </c:pt>
                <c:pt idx="10">
                  <c:v>149797.4</c:v>
                </c:pt>
                <c:pt idx="11">
                  <c:v>223535.81076000002</c:v>
                </c:pt>
                <c:pt idx="12">
                  <c:v>276339.48751000001</c:v>
                </c:pt>
                <c:pt idx="13">
                  <c:v>276382.56017000001</c:v>
                </c:pt>
                <c:pt idx="14">
                  <c:v>251704.30836000002</c:v>
                </c:pt>
                <c:pt idx="15">
                  <c:v>242570.32265999995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B-C74A-4991-8E00-A818C2AE6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10378112"/>
        <c:axId val="210379904"/>
        <c:axId val="0"/>
      </c:bar3DChart>
      <c:catAx>
        <c:axId val="21037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10379904"/>
        <c:crosses val="autoZero"/>
        <c:auto val="0"/>
        <c:lblAlgn val="ctr"/>
        <c:lblOffset val="100"/>
        <c:noMultiLvlLbl val="0"/>
      </c:catAx>
      <c:valAx>
        <c:axId val="21037990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0000FF">
                <a:alpha val="41961"/>
              </a:srgbClr>
            </a:solidFill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10378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7540228294203772"/>
          <c:y val="0.10942367313610532"/>
          <c:w val="0.55248214468572154"/>
          <c:h val="7.9009818958628825E-2"/>
        </c:manualLayout>
      </c:layout>
      <c:overlay val="0"/>
      <c:txPr>
        <a:bodyPr/>
        <a:lstStyle/>
        <a:p>
          <a:pPr>
            <a:defRPr sz="8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rgbClr val="F9F9F9">
            <a:alpha val="24706"/>
          </a:srgb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9739032506921704E-2"/>
          <c:y val="3.9639132668423095E-2"/>
          <c:w val="0.90026098563253909"/>
          <c:h val="0.8974314315273671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'c'!$E$2</c:f>
              <c:strCache>
                <c:ptCount val="1"/>
                <c:pt idx="0">
                  <c:v>kwoty wyd. w woj. podkarpackim (w tys. zł.)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-1.5494172852506087E-3"/>
                  <c:y val="0.156410005850824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86-4507-B3EF-683EA42FFCB5}"/>
                </c:ext>
              </c:extLst>
            </c:dLbl>
            <c:dLbl>
              <c:idx val="1"/>
              <c:layout>
                <c:manualLayout>
                  <c:x val="-1.8221877366461591E-3"/>
                  <c:y val="0.2069944954818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86-4507-B3EF-683EA42FFCB5}"/>
                </c:ext>
              </c:extLst>
            </c:dLbl>
            <c:dLbl>
              <c:idx val="2"/>
              <c:layout>
                <c:manualLayout>
                  <c:x val="9.8501567466779808E-4"/>
                  <c:y val="0.279794947193341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86-4507-B3EF-683EA42FFCB5}"/>
                </c:ext>
              </c:extLst>
            </c:dLbl>
            <c:dLbl>
              <c:idx val="3"/>
              <c:layout>
                <c:manualLayout>
                  <c:x val="5.1714843944871867E-4"/>
                  <c:y val="0.295393466946928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86-4507-B3EF-683EA42FFCB5}"/>
                </c:ext>
              </c:extLst>
            </c:dLbl>
            <c:dLbl>
              <c:idx val="4"/>
              <c:layout>
                <c:manualLayout>
                  <c:x val="4.6346640340093042E-3"/>
                  <c:y val="0.28021035166687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86-4507-B3EF-683EA42FFCB5}"/>
                </c:ext>
              </c:extLst>
            </c:dLbl>
            <c:dLbl>
              <c:idx val="5"/>
              <c:layout>
                <c:manualLayout>
                  <c:x val="4.8250963417122194E-3"/>
                  <c:y val="0.274245045299939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86-4507-B3EF-683EA42FFCB5}"/>
                </c:ext>
              </c:extLst>
            </c:dLbl>
            <c:dLbl>
              <c:idx val="6"/>
              <c:layout>
                <c:manualLayout>
                  <c:x val="8.1111183669627593E-3"/>
                  <c:y val="0.273816966083614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86-4507-B3EF-683EA42FFCB5}"/>
                </c:ext>
              </c:extLst>
            </c:dLbl>
            <c:dLbl>
              <c:idx val="7"/>
              <c:layout>
                <c:manualLayout>
                  <c:x val="7.2102660657738862E-3"/>
                  <c:y val="0.26090712725319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86-4507-B3EF-683EA42FFCB5}"/>
                </c:ext>
              </c:extLst>
            </c:dLbl>
            <c:dLbl>
              <c:idx val="8"/>
              <c:layout>
                <c:manualLayout>
                  <c:x val="8.9818992226993535E-3"/>
                  <c:y val="0.214758221414925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86-4507-B3EF-683EA42FFCB5}"/>
                </c:ext>
              </c:extLst>
            </c:dLbl>
            <c:dLbl>
              <c:idx val="9"/>
              <c:layout>
                <c:manualLayout>
                  <c:x val="5.4637972900828356E-3"/>
                  <c:y val="0.248727286098730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86-4507-B3EF-683EA42FFCB5}"/>
                </c:ext>
              </c:extLst>
            </c:dLbl>
            <c:dLbl>
              <c:idx val="10"/>
              <c:layout>
                <c:manualLayout>
                  <c:x val="1.2619857672900255E-2"/>
                  <c:y val="0.248727286098730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86-4507-B3EF-683EA42FFC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50" b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'c'!$B$11:$B$21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'c'!$E$11:$E$21</c:f>
              <c:numCache>
                <c:formatCode>#\ ##0.0</c:formatCode>
                <c:ptCount val="11"/>
                <c:pt idx="0">
                  <c:v>278247.90000000002</c:v>
                </c:pt>
                <c:pt idx="1">
                  <c:v>264833.30000000005</c:v>
                </c:pt>
                <c:pt idx="2">
                  <c:v>249008.5</c:v>
                </c:pt>
                <c:pt idx="3">
                  <c:v>207378.2</c:v>
                </c:pt>
                <c:pt idx="4">
                  <c:v>167147.29999999999</c:v>
                </c:pt>
                <c:pt idx="5">
                  <c:v>149797.4</c:v>
                </c:pt>
                <c:pt idx="6">
                  <c:v>223535.81076000002</c:v>
                </c:pt>
                <c:pt idx="7">
                  <c:v>276339.48751000001</c:v>
                </c:pt>
                <c:pt idx="8">
                  <c:v>276382.56017000001</c:v>
                </c:pt>
                <c:pt idx="9">
                  <c:v>251704.30836000002</c:v>
                </c:pt>
                <c:pt idx="10">
                  <c:v>242570.32265999995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B-4F86-4507-B3EF-683EA42FF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10417152"/>
        <c:axId val="210418688"/>
        <c:axId val="0"/>
      </c:bar3DChart>
      <c:catAx>
        <c:axId val="21041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10418688"/>
        <c:crosses val="autoZero"/>
        <c:auto val="0"/>
        <c:lblAlgn val="ctr"/>
        <c:lblOffset val="100"/>
        <c:noMultiLvlLbl val="0"/>
      </c:catAx>
      <c:valAx>
        <c:axId val="21041868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0000FF">
                <a:alpha val="42000"/>
              </a:srgbClr>
            </a:solidFill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10417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4301615579057748"/>
          <c:y val="4.5105052605241462E-3"/>
          <c:w val="0.72440192826899508"/>
          <c:h val="7.9009818958628825E-2"/>
        </c:manualLayout>
      </c:layout>
      <c:overlay val="0"/>
      <c:txPr>
        <a:bodyPr/>
        <a:lstStyle/>
        <a:p>
          <a:pPr>
            <a:defRPr sz="8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rgbClr val="F9F9F9">
            <a:alpha val="24706"/>
          </a:srgb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645399127395364E-2"/>
          <c:y val="5.6068630807338343E-2"/>
          <c:w val="0.89202293054490878"/>
          <c:h val="0.8254775761725434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'c'!$G$2</c:f>
              <c:strCache>
                <c:ptCount val="1"/>
                <c:pt idx="0">
                  <c:v>Wskaźnik efekt. kosztowej, Podkarpackie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1.8046369271145293E-3"/>
                  <c:y val="0.205325331775983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D0-44FA-83CC-CDCC1BDDCD49}"/>
                </c:ext>
              </c:extLst>
            </c:dLbl>
            <c:dLbl>
              <c:idx val="1"/>
              <c:layout>
                <c:manualLayout>
                  <c:x val="-9.7463437783473111E-4"/>
                  <c:y val="0.235957065469118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D0-44FA-83CC-CDCC1BDDCD49}"/>
                </c:ext>
              </c:extLst>
            </c:dLbl>
            <c:dLbl>
              <c:idx val="2"/>
              <c:layout>
                <c:manualLayout>
                  <c:x val="-4.3754005428872693E-4"/>
                  <c:y val="0.23310590651871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D0-44FA-83CC-CDCC1BDDCD49}"/>
                </c:ext>
              </c:extLst>
            </c:dLbl>
            <c:dLbl>
              <c:idx val="3"/>
              <c:layout>
                <c:manualLayout>
                  <c:x val="-1.6899289251572487E-4"/>
                  <c:y val="0.232135650562861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D0-44FA-83CC-CDCC1BDDCD49}"/>
                </c:ext>
              </c:extLst>
            </c:dLbl>
            <c:dLbl>
              <c:idx val="4"/>
              <c:layout>
                <c:manualLayout>
                  <c:x val="7.9443923228503781E-3"/>
                  <c:y val="0.236441186539662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D0-44FA-83CC-CDCC1BDDCD49}"/>
                </c:ext>
              </c:extLst>
            </c:dLbl>
            <c:dLbl>
              <c:idx val="5"/>
              <c:layout>
                <c:manualLayout>
                  <c:x val="5.730412793433331E-3"/>
                  <c:y val="0.227831322874921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D0-44FA-83CC-CDCC1BDDCD49}"/>
                </c:ext>
              </c:extLst>
            </c:dLbl>
            <c:dLbl>
              <c:idx val="6"/>
              <c:layout>
                <c:manualLayout>
                  <c:x val="4.7609575394327048E-3"/>
                  <c:y val="0.212718851320055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D0-44FA-83CC-CDCC1BDDCD49}"/>
                </c:ext>
              </c:extLst>
            </c:dLbl>
            <c:dLbl>
              <c:idx val="7"/>
              <c:layout>
                <c:manualLayout>
                  <c:x val="7.3497521789245342E-3"/>
                  <c:y val="0.216534627544958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D0-44FA-83CC-CDCC1BDDCD49}"/>
                </c:ext>
              </c:extLst>
            </c:dLbl>
            <c:dLbl>
              <c:idx val="8"/>
              <c:layout>
                <c:manualLayout>
                  <c:x val="6.8275329944208919E-3"/>
                  <c:y val="0.197318616921440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7D0-44FA-83CC-CDCC1BDDCD49}"/>
                </c:ext>
              </c:extLst>
            </c:dLbl>
            <c:dLbl>
              <c:idx val="9"/>
              <c:layout>
                <c:manualLayout>
                  <c:x val="5.3259788985106958E-3"/>
                  <c:y val="0.146615443741676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54837610959506"/>
                      <c:h val="0.104049669752157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E7D0-44FA-83CC-CDCC1BDDCD49}"/>
                </c:ext>
              </c:extLst>
            </c:dLbl>
            <c:dLbl>
              <c:idx val="10"/>
              <c:layout>
                <c:manualLayout>
                  <c:x val="5.8264324224212988E-3"/>
                  <c:y val="0.19068742800336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7D0-44FA-83CC-CDCC1BDDCD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 b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'c'!$B$11:$B$21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'c'!$G$11:$G$21</c:f>
              <c:numCache>
                <c:formatCode>#,##0.00</c:formatCode>
                <c:ptCount val="11"/>
                <c:pt idx="0">
                  <c:v>13907.53</c:v>
                </c:pt>
                <c:pt idx="1">
                  <c:v>11609.894349217482</c:v>
                </c:pt>
                <c:pt idx="2">
                  <c:v>11688.893583063418</c:v>
                </c:pt>
                <c:pt idx="3">
                  <c:v>10588.083324823854</c:v>
                </c:pt>
                <c:pt idx="4">
                  <c:v>10436.921635966282</c:v>
                </c:pt>
                <c:pt idx="5">
                  <c:v>11096.925698199866</c:v>
                </c:pt>
                <c:pt idx="6">
                  <c:v>15320.115876910426</c:v>
                </c:pt>
                <c:pt idx="7">
                  <c:v>17604.605179970695</c:v>
                </c:pt>
                <c:pt idx="8">
                  <c:v>18474.770064839573</c:v>
                </c:pt>
                <c:pt idx="9">
                  <c:v>19103.241375227688</c:v>
                </c:pt>
                <c:pt idx="10">
                  <c:v>20887.82594161715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B-E7D0-44FA-83CC-CDCC1BDDC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gapDepth val="123"/>
        <c:shape val="cylinder"/>
        <c:axId val="213728640"/>
        <c:axId val="213738624"/>
        <c:axId val="0"/>
      </c:bar3DChart>
      <c:catAx>
        <c:axId val="21372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13738624"/>
        <c:crosses val="autoZero"/>
        <c:auto val="0"/>
        <c:lblAlgn val="ctr"/>
        <c:lblOffset val="100"/>
        <c:noMultiLvlLbl val="0"/>
      </c:catAx>
      <c:valAx>
        <c:axId val="21373862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0000FF">
                <a:alpha val="42000"/>
              </a:srgbClr>
            </a:solidFill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13728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583528615355788"/>
          <c:y val="2.7745213119345045E-2"/>
          <c:w val="0.55248214468572154"/>
          <c:h val="7.9009818958628825E-2"/>
        </c:manualLayout>
      </c:layout>
      <c:overlay val="0"/>
      <c:txPr>
        <a:bodyPr/>
        <a:lstStyle/>
        <a:p>
          <a:pPr>
            <a:defRPr sz="800" b="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b="0">
                <a:latin typeface="Arial" panose="020B0604020202020204" pitchFamily="34" charset="0"/>
                <a:cs typeface="Arial" panose="020B0604020202020204" pitchFamily="34" charset="0"/>
              </a:rPr>
              <a:t>wg poszczególnych lat</a:t>
            </a:r>
          </a:p>
        </c:rich>
      </c:tx>
      <c:layout>
        <c:manualLayout>
          <c:xMode val="edge"/>
          <c:yMode val="edge"/>
          <c:x val="0.27548228592070939"/>
          <c:y val="7.65958151719343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45097601865848E-2"/>
          <c:y val="6.04878482585691E-2"/>
          <c:w val="0.89144709558031465"/>
          <c:h val="0.82155891500668721"/>
        </c:manualLayout>
      </c:layout>
      <c:lineChart>
        <c:grouping val="standard"/>
        <c:varyColors val="0"/>
        <c:ser>
          <c:idx val="0"/>
          <c:order val="0"/>
          <c:tx>
            <c:strRef>
              <c:f>d!$C$15:$C$16</c:f>
              <c:strCache>
                <c:ptCount val="2"/>
                <c:pt idx="0">
                  <c:v>Bezrobotni zatrudnieni</c:v>
                </c:pt>
                <c:pt idx="1">
                  <c:v>po zakończeniu form aktywnych</c:v>
                </c:pt>
              </c:strCache>
            </c:strRef>
          </c:tx>
          <c:spPr>
            <a:ln w="508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d!$B$17:$B$27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d!$C$17:$C$27</c:f>
              <c:numCache>
                <c:formatCode>#,##0</c:formatCode>
                <c:ptCount val="11"/>
                <c:pt idx="0">
                  <c:v>20007</c:v>
                </c:pt>
                <c:pt idx="1">
                  <c:v>22811</c:v>
                </c:pt>
                <c:pt idx="2">
                  <c:v>21303</c:v>
                </c:pt>
                <c:pt idx="3">
                  <c:v>19586</c:v>
                </c:pt>
                <c:pt idx="4">
                  <c:v>16015</c:v>
                </c:pt>
                <c:pt idx="5">
                  <c:v>13499</c:v>
                </c:pt>
                <c:pt idx="6">
                  <c:v>14591</c:v>
                </c:pt>
                <c:pt idx="7">
                  <c:v>15697</c:v>
                </c:pt>
                <c:pt idx="8">
                  <c:v>14960</c:v>
                </c:pt>
                <c:pt idx="9">
                  <c:v>13176</c:v>
                </c:pt>
                <c:pt idx="10">
                  <c:v>11613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473-48AB-9D35-EB719239456D}"/>
            </c:ext>
          </c:extLst>
        </c:ser>
        <c:ser>
          <c:idx val="1"/>
          <c:order val="1"/>
          <c:tx>
            <c:strRef>
              <c:f>d!$D$15:$D$16</c:f>
              <c:strCache>
                <c:ptCount val="2"/>
                <c:pt idx="0">
                  <c:v>Ogólna liczba bezrobotnych</c:v>
                </c:pt>
                <c:pt idx="1">
                  <c:v>31 XII danego roku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d!$B$17:$B$27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d!$D$17:$D$27</c:f>
              <c:numCache>
                <c:formatCode>#,##0</c:formatCode>
                <c:ptCount val="11"/>
                <c:pt idx="0">
                  <c:v>123514</c:v>
                </c:pt>
                <c:pt idx="1">
                  <c:v>107567</c:v>
                </c:pt>
                <c:pt idx="2">
                  <c:v>90972</c:v>
                </c:pt>
                <c:pt idx="3">
                  <c:v>82933</c:v>
                </c:pt>
                <c:pt idx="4">
                  <c:v>75455</c:v>
                </c:pt>
                <c:pt idx="5">
                  <c:v>87326</c:v>
                </c:pt>
                <c:pt idx="6">
                  <c:v>77291</c:v>
                </c:pt>
                <c:pt idx="7">
                  <c:v>69046</c:v>
                </c:pt>
                <c:pt idx="8">
                  <c:v>67653</c:v>
                </c:pt>
                <c:pt idx="9">
                  <c:v>67336</c:v>
                </c:pt>
                <c:pt idx="10">
                  <c:v>72059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473-48AB-9D35-EB7192394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61792"/>
        <c:axId val="216963328"/>
      </c:lineChart>
      <c:catAx>
        <c:axId val="216961792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40000"/>
                  <a:lumOff val="6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2">
                <a:lumMod val="60000"/>
                <a:lumOff val="4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963328"/>
        <c:crosses val="autoZero"/>
        <c:auto val="1"/>
        <c:lblAlgn val="ctr"/>
        <c:lblOffset val="100"/>
        <c:noMultiLvlLbl val="0"/>
      </c:catAx>
      <c:valAx>
        <c:axId val="216963328"/>
        <c:scaling>
          <c:orientation val="minMax"/>
        </c:scaling>
        <c:delete val="0"/>
        <c:axPos val="l"/>
        <c:majorGridlines>
          <c:spPr>
            <a:ln>
              <a:solidFill>
                <a:srgbClr val="DDEDF1">
                  <a:alpha val="31765"/>
                </a:srgbClr>
              </a:solidFill>
            </a:ln>
          </c:spPr>
        </c:majorGridlines>
        <c:minorGridlines>
          <c:spPr>
            <a:ln w="6350">
              <a:solidFill>
                <a:schemeClr val="tx2">
                  <a:lumMod val="40000"/>
                  <a:lumOff val="60000"/>
                  <a:alpha val="82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0000FF"/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16961792"/>
        <c:crosses val="autoZero"/>
        <c:crossBetween val="midCat"/>
      </c:valAx>
      <c:spPr>
        <a:noFill/>
      </c:spPr>
    </c:plotArea>
    <c:legend>
      <c:legendPos val="t"/>
      <c:layout>
        <c:manualLayout>
          <c:xMode val="edge"/>
          <c:yMode val="edge"/>
          <c:x val="0.23368425937967949"/>
          <c:y val="0.16507338474227426"/>
          <c:w val="0.73603570575688315"/>
          <c:h val="0.11044503976568962"/>
        </c:manualLayout>
      </c:layout>
      <c:overlay val="0"/>
      <c:txPr>
        <a:bodyPr/>
        <a:lstStyle/>
        <a:p>
          <a:pPr>
            <a:defRPr sz="1100">
              <a:latin typeface="+mj-lt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b="0">
                <a:latin typeface="Arial" panose="020B0604020202020204" pitchFamily="34" charset="0"/>
                <a:cs typeface="Arial" panose="020B0604020202020204" pitchFamily="34" charset="0"/>
              </a:rPr>
              <a:t>wg poszczególnych lat</a:t>
            </a:r>
          </a:p>
        </c:rich>
      </c:tx>
      <c:layout>
        <c:manualLayout>
          <c:xMode val="edge"/>
          <c:yMode val="edge"/>
          <c:x val="0.27548228592070939"/>
          <c:y val="7.65958151719343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45097601865848E-2"/>
          <c:y val="6.04878482585691E-2"/>
          <c:w val="0.89144709558031465"/>
          <c:h val="0.82155891500668721"/>
        </c:manualLayout>
      </c:layout>
      <c:lineChart>
        <c:grouping val="standard"/>
        <c:varyColors val="0"/>
        <c:ser>
          <c:idx val="0"/>
          <c:order val="0"/>
          <c:tx>
            <c:strRef>
              <c:f>d!$E$15:$E$16</c:f>
              <c:strCache>
                <c:ptCount val="2"/>
                <c:pt idx="0">
                  <c:v>Udział [w proc.], bezrobotni zatrudnieni po formach</c:v>
                </c:pt>
                <c:pt idx="1">
                  <c:v>aktywnych, a ogólna liczba bezrobotnych na 31-12 danego roku.</c:v>
                </c:pt>
              </c:strCache>
            </c:strRef>
          </c:tx>
          <c:spPr>
            <a:ln w="508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d!$B$17:$B$27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d!$E$17:$E$27</c:f>
              <c:numCache>
                <c:formatCode>0.0</c:formatCode>
                <c:ptCount val="11"/>
                <c:pt idx="0">
                  <c:v>16.198163770908561</c:v>
                </c:pt>
                <c:pt idx="1">
                  <c:v>21.206317922783011</c:v>
                </c:pt>
                <c:pt idx="2">
                  <c:v>23.417095370003956</c:v>
                </c:pt>
                <c:pt idx="3">
                  <c:v>23.616654407774952</c:v>
                </c:pt>
                <c:pt idx="4">
                  <c:v>21.224570936319662</c:v>
                </c:pt>
                <c:pt idx="5">
                  <c:v>15.458168243134921</c:v>
                </c:pt>
                <c:pt idx="6">
                  <c:v>18.878006494934727</c:v>
                </c:pt>
                <c:pt idx="7">
                  <c:v>22.734119282796975</c:v>
                </c:pt>
                <c:pt idx="8">
                  <c:v>22.112840524440898</c:v>
                </c:pt>
                <c:pt idx="9">
                  <c:v>19.567541879529525</c:v>
                </c:pt>
                <c:pt idx="10">
                  <c:v>16.115960532341553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623-43F7-95E2-A5DA42F6F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61792"/>
        <c:axId val="216963328"/>
      </c:lineChart>
      <c:catAx>
        <c:axId val="216961792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40000"/>
                  <a:lumOff val="6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2">
                <a:lumMod val="60000"/>
                <a:lumOff val="4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963328"/>
        <c:crosses val="autoZero"/>
        <c:auto val="1"/>
        <c:lblAlgn val="ctr"/>
        <c:lblOffset val="100"/>
        <c:noMultiLvlLbl val="0"/>
      </c:catAx>
      <c:valAx>
        <c:axId val="216963328"/>
        <c:scaling>
          <c:orientation val="minMax"/>
        </c:scaling>
        <c:delete val="0"/>
        <c:axPos val="l"/>
        <c:majorGridlines>
          <c:spPr>
            <a:ln>
              <a:solidFill>
                <a:srgbClr val="DDEDF1">
                  <a:alpha val="31765"/>
                </a:srgbClr>
              </a:solidFill>
            </a:ln>
          </c:spPr>
        </c:majorGridlines>
        <c:minorGridlines>
          <c:spPr>
            <a:ln w="6350">
              <a:solidFill>
                <a:schemeClr val="tx2">
                  <a:lumMod val="40000"/>
                  <a:lumOff val="60000"/>
                  <a:alpha val="82000"/>
                </a:schemeClr>
              </a:solidFill>
              <a:prstDash val="sysDot"/>
            </a:ln>
          </c:spPr>
        </c:minorGridlines>
        <c:numFmt formatCode="0.0" sourceLinked="1"/>
        <c:majorTickMark val="out"/>
        <c:minorTickMark val="none"/>
        <c:tickLblPos val="nextTo"/>
        <c:spPr>
          <a:noFill/>
          <a:ln>
            <a:solidFill>
              <a:srgbClr val="0000FF"/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16961792"/>
        <c:crosses val="autoZero"/>
        <c:crossBetween val="midCat"/>
      </c:valAx>
      <c:spPr>
        <a:noFill/>
      </c:spPr>
    </c:plotArea>
    <c:legend>
      <c:legendPos val="t"/>
      <c:layout>
        <c:manualLayout>
          <c:xMode val="edge"/>
          <c:yMode val="edge"/>
          <c:x val="0.18969800317982535"/>
          <c:y val="0.49725333967274898"/>
          <c:w val="0.73603570575688315"/>
          <c:h val="0.11044503976568962"/>
        </c:manualLayout>
      </c:layout>
      <c:overlay val="0"/>
      <c:txPr>
        <a:bodyPr/>
        <a:lstStyle/>
        <a:p>
          <a:pPr>
            <a:defRPr sz="1100">
              <a:latin typeface="+mj-lt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57231553627598"/>
          <c:y val="3.8885303271517291E-2"/>
          <c:w val="0.87742768446372388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'1.25'!$B$27</c:f>
              <c:strCache>
                <c:ptCount val="1"/>
                <c:pt idx="0">
                  <c:v>Staże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B7E-457E-9DF1-DFC3AFF93C8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B7E-457E-9DF1-DFC3AFF93C8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B7E-457E-9DF1-DFC3AFF93C8C}"/>
              </c:ext>
            </c:extLst>
          </c:dPt>
          <c:dPt>
            <c:idx val="8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4-3B7E-457E-9DF1-DFC3AFF93C8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B7E-457E-9DF1-DFC3AFF93C8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B7E-457E-9DF1-DFC3AFF93C8C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B7E-457E-9DF1-DFC3AFF93C8C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'1.25'!$L$4:$L$25</c:f>
              <c:strCache>
                <c:ptCount val="22"/>
                <c:pt idx="0">
                  <c:v>Nisko</c:v>
                </c:pt>
                <c:pt idx="1">
                  <c:v>Dębica</c:v>
                </c:pt>
                <c:pt idx="2">
                  <c:v>Łańcut</c:v>
                </c:pt>
                <c:pt idx="3">
                  <c:v>Przeworsk</c:v>
                </c:pt>
                <c:pt idx="4">
                  <c:v>Mielec</c:v>
                </c:pt>
                <c:pt idx="5">
                  <c:v>Rzeszów</c:v>
                </c:pt>
                <c:pt idx="6">
                  <c:v>Sanok</c:v>
                </c:pt>
                <c:pt idx="7">
                  <c:v>Ropczyce</c:v>
                </c:pt>
                <c:pt idx="8">
                  <c:v>Podkarpacie</c:v>
                </c:pt>
                <c:pt idx="9">
                  <c:v>Tarnobrzeg</c:v>
                </c:pt>
                <c:pt idx="10">
                  <c:v>Strzyżów</c:v>
                </c:pt>
                <c:pt idx="11">
                  <c:v>Stalowa Wola</c:v>
                </c:pt>
                <c:pt idx="12">
                  <c:v>Leżajsk</c:v>
                </c:pt>
                <c:pt idx="13">
                  <c:v>Lubaczów</c:v>
                </c:pt>
                <c:pt idx="14">
                  <c:v>Krosno</c:v>
                </c:pt>
                <c:pt idx="15">
                  <c:v>Kolbuszowa</c:v>
                </c:pt>
                <c:pt idx="16">
                  <c:v>Ustrzyki Dolne</c:v>
                </c:pt>
                <c:pt idx="17">
                  <c:v>Jasło</c:v>
                </c:pt>
                <c:pt idx="18">
                  <c:v>Brzozów</c:v>
                </c:pt>
                <c:pt idx="19">
                  <c:v>Lesko</c:v>
                </c:pt>
                <c:pt idx="20">
                  <c:v>Jarosław</c:v>
                </c:pt>
                <c:pt idx="21">
                  <c:v>Przemyśl</c:v>
                </c:pt>
              </c:strCache>
            </c:strRef>
          </c:cat>
          <c:val>
            <c:numRef>
              <c:f>'1.25'!$M$4:$M$25</c:f>
              <c:numCache>
                <c:formatCode>#\ ##0.0</c:formatCode>
                <c:ptCount val="22"/>
                <c:pt idx="0">
                  <c:v>67.164179104477611</c:v>
                </c:pt>
                <c:pt idx="1">
                  <c:v>67.5</c:v>
                </c:pt>
                <c:pt idx="2">
                  <c:v>75.352112676056336</c:v>
                </c:pt>
                <c:pt idx="3">
                  <c:v>77.5</c:v>
                </c:pt>
                <c:pt idx="4">
                  <c:v>78.542510121457482</c:v>
                </c:pt>
                <c:pt idx="5">
                  <c:v>79.514824797843659</c:v>
                </c:pt>
                <c:pt idx="6">
                  <c:v>79.646017699115049</c:v>
                </c:pt>
                <c:pt idx="7">
                  <c:v>79.816513761467888</c:v>
                </c:pt>
                <c:pt idx="8">
                  <c:v>82.448610797379715</c:v>
                </c:pt>
                <c:pt idx="9">
                  <c:v>84.491978609625676</c:v>
                </c:pt>
                <c:pt idx="10">
                  <c:v>84.859154929577457</c:v>
                </c:pt>
                <c:pt idx="11">
                  <c:v>85.051546391752581</c:v>
                </c:pt>
                <c:pt idx="12">
                  <c:v>85.318559556786695</c:v>
                </c:pt>
                <c:pt idx="13">
                  <c:v>85.507246376811594</c:v>
                </c:pt>
                <c:pt idx="14">
                  <c:v>86.666666666666671</c:v>
                </c:pt>
                <c:pt idx="15">
                  <c:v>87.387387387387378</c:v>
                </c:pt>
                <c:pt idx="16">
                  <c:v>87.628865979381445</c:v>
                </c:pt>
                <c:pt idx="17">
                  <c:v>87.793427230046944</c:v>
                </c:pt>
                <c:pt idx="18">
                  <c:v>88.135593220338976</c:v>
                </c:pt>
                <c:pt idx="19">
                  <c:v>88.461538461538453</c:v>
                </c:pt>
                <c:pt idx="20">
                  <c:v>88.549618320610691</c:v>
                </c:pt>
                <c:pt idx="21">
                  <c:v>89.629629629629619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7E-457E-9DF1-DFC3AFF93C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16374656"/>
        <c:axId val="216390272"/>
      </c:barChart>
      <c:catAx>
        <c:axId val="216374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16390272"/>
        <c:crosses val="autoZero"/>
        <c:auto val="1"/>
        <c:lblAlgn val="ctr"/>
        <c:lblOffset val="100"/>
        <c:noMultiLvlLbl val="0"/>
      </c:catAx>
      <c:valAx>
        <c:axId val="216390272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1637465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7668160701254533"/>
          <c:y val="2.5747673316920901E-2"/>
        </c:manualLayout>
      </c:layout>
      <c:overlay val="0"/>
      <c:txPr>
        <a:bodyPr/>
        <a:lstStyle/>
        <a:p>
          <a:pPr>
            <a:defRPr sz="11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title>
    <c:autoTitleDeleted val="0"/>
    <c:view3D>
      <c:rotX val="15"/>
      <c:rotY val="20"/>
      <c:rAngAx val="0"/>
      <c:perspective val="20"/>
    </c:view3D>
    <c:floor>
      <c:thickness val="0"/>
      <c:spPr>
        <a:solidFill>
          <a:schemeClr val="tx2">
            <a:lumMod val="75000"/>
            <a:alpha val="24706"/>
          </a:scheme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8262702731621133E-2"/>
          <c:y val="5.2667578475829681E-2"/>
          <c:w val="0.91392778420552756"/>
          <c:h val="0.8339809647091213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S.25!$C$13</c:f>
              <c:strCache>
                <c:ptCount val="1"/>
                <c:pt idx="0">
                  <c:v>Efektywność kosztowa (w proc.)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D48-4010-86AA-BE355F0D47DE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79375">
                <a:noFill/>
              </a:ln>
              <a:effectLst/>
              <a:scene3d>
                <a:camera prst="orthographicFront"/>
                <a:lightRig rig="threePt" dir="t"/>
              </a:scene3d>
              <a:sp3d prstMaterial="metal">
                <a:bevelB w="114300" prst="hardEdg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D48-4010-86AA-BE355F0D47DE}"/>
              </c:ext>
            </c:extLst>
          </c:dPt>
          <c:dLbls>
            <c:dLbl>
              <c:idx val="0"/>
              <c:layout>
                <c:manualLayout>
                  <c:x val="1.853997276521796E-2"/>
                  <c:y val="-1.0300426399803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48-4010-86AA-BE355F0D47DE}"/>
                </c:ext>
              </c:extLst>
            </c:dLbl>
            <c:dLbl>
              <c:idx val="1"/>
              <c:layout>
                <c:manualLayout>
                  <c:x val="2.0934110980568941E-2"/>
                  <c:y val="-2.4034328266208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48-4010-86AA-BE355F0D47DE}"/>
                </c:ext>
              </c:extLst>
            </c:dLbl>
            <c:dLbl>
              <c:idx val="2"/>
              <c:layout>
                <c:manualLayout>
                  <c:x val="2.2247967318261553E-2"/>
                  <c:y val="-2.4034328266208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48-4010-86AA-BE355F0D47DE}"/>
                </c:ext>
              </c:extLst>
            </c:dLbl>
            <c:dLbl>
              <c:idx val="3"/>
              <c:layout>
                <c:manualLayout>
                  <c:x val="2.2248027548105186E-2"/>
                  <c:y val="-1.0781043483744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48-4010-86AA-BE355F0D47DE}"/>
                </c:ext>
              </c:extLst>
            </c:dLbl>
            <c:dLbl>
              <c:idx val="4"/>
              <c:layout>
                <c:manualLayout>
                  <c:x val="2.2247967318261553E-2"/>
                  <c:y val="-6.86695093320241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48-4010-86AA-BE355F0D47DE}"/>
                </c:ext>
              </c:extLst>
            </c:dLbl>
            <c:dLbl>
              <c:idx val="5"/>
              <c:layout>
                <c:manualLayout>
                  <c:x val="1.5958974981839586E-2"/>
                  <c:y val="-2.7467803732809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48-4010-86AA-BE355F0D47DE}"/>
                </c:ext>
              </c:extLst>
            </c:dLbl>
            <c:dLbl>
              <c:idx val="6"/>
              <c:layout>
                <c:manualLayout>
                  <c:x val="1.4831978212174367E-2"/>
                  <c:y val="-1.0300426399803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48-4010-86AA-BE355F0D47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S.25!$B$14:$B$22</c:f>
              <c:strCache>
                <c:ptCount val="9"/>
                <c:pt idx="0">
                  <c:v>Dofinansowanie działalności gospodarczej</c:v>
                </c:pt>
                <c:pt idx="1">
                  <c:v>Refundacja kosztów wyposażenia lub doposażenia miejsca pracy</c:v>
                </c:pt>
                <c:pt idx="2">
                  <c:v>Roboty publiczne</c:v>
                </c:pt>
                <c:pt idx="3">
                  <c:v>Razem 6 form (do por.)</c:v>
                </c:pt>
                <c:pt idx="4">
                  <c:v>Razem 7 podstawowych form</c:v>
                </c:pt>
                <c:pt idx="5">
                  <c:v>Staże</c:v>
                </c:pt>
                <c:pt idx="6">
                  <c:v>Bon na zasiedlenie</c:v>
                </c:pt>
                <c:pt idx="7">
                  <c:v>Prace interwencyjne</c:v>
                </c:pt>
                <c:pt idx="8">
                  <c:v>Szkolenia</c:v>
                </c:pt>
              </c:strCache>
            </c:strRef>
          </c:cat>
          <c:val>
            <c:numRef>
              <c:f>S.25!$C$14:$C$22</c:f>
              <c:numCache>
                <c:formatCode>#\ ##0.0</c:formatCode>
                <c:ptCount val="9"/>
                <c:pt idx="0">
                  <c:v>34538.310051078312</c:v>
                </c:pt>
                <c:pt idx="1">
                  <c:v>30333.703615857827</c:v>
                </c:pt>
                <c:pt idx="2">
                  <c:v>22106.118038490007</c:v>
                </c:pt>
                <c:pt idx="3">
                  <c:v>20887.82594161715</c:v>
                </c:pt>
                <c:pt idx="4">
                  <c:v>20408.839881800512</c:v>
                </c:pt>
                <c:pt idx="5">
                  <c:v>18392.965695890409</c:v>
                </c:pt>
                <c:pt idx="6">
                  <c:v>12881.823491204332</c:v>
                </c:pt>
                <c:pt idx="7">
                  <c:v>12347.160524385772</c:v>
                </c:pt>
                <c:pt idx="8">
                  <c:v>10098.810530303028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8-FD48-4010-86AA-BE355F0D4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09302272"/>
        <c:axId val="209303808"/>
        <c:axId val="0"/>
      </c:bar3DChart>
      <c:catAx>
        <c:axId val="20930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303808"/>
        <c:crosses val="autoZero"/>
        <c:auto val="0"/>
        <c:lblAlgn val="ctr"/>
        <c:lblOffset val="100"/>
        <c:noMultiLvlLbl val="0"/>
      </c:catAx>
      <c:valAx>
        <c:axId val="209303808"/>
        <c:scaling>
          <c:orientation val="minMax"/>
          <c:max val="35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0000FF">
                <a:alpha val="42000"/>
              </a:srgbClr>
            </a:solidFill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302272"/>
        <c:crosses val="autoZero"/>
        <c:crossBetween val="between"/>
        <c:majorUnit val="5000"/>
        <c:minorUnit val="900"/>
      </c:valAx>
    </c:plotArea>
    <c:legend>
      <c:legendPos val="r"/>
      <c:layout>
        <c:manualLayout>
          <c:xMode val="edge"/>
          <c:yMode val="edge"/>
          <c:x val="0.4821484864582436"/>
          <c:y val="0.10656822328660444"/>
          <c:w val="0.45257026479245388"/>
          <c:h val="0.28076203075781453"/>
        </c:manualLayout>
      </c:layout>
      <c:overlay val="0"/>
      <c:txPr>
        <a:bodyPr/>
        <a:lstStyle/>
        <a:p>
          <a:pPr>
            <a:defRPr sz="7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'2.25'!$B$28</c:f>
              <c:strCache>
                <c:ptCount val="1"/>
                <c:pt idx="0">
                  <c:v>Szkolenia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F3-4F1B-9145-12F76EFF3C5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4F3-4F1B-9145-12F76EFF3C5C}"/>
              </c:ext>
            </c:extLst>
          </c:dPt>
          <c:dPt>
            <c:idx val="7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A-9ED3-46CD-B65F-7B3D8781393A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4F3-4F1B-9145-12F76EFF3C5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4F3-4F1B-9145-12F76EFF3C5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4F3-4F1B-9145-12F76EFF3C5C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4F3-4F1B-9145-12F76EFF3C5C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4F3-4F1B-9145-12F76EFF3C5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4F3-4F1B-9145-12F76EFF3C5C}"/>
              </c:ext>
            </c:extLst>
          </c:dPt>
          <c:dLbls>
            <c:numFmt formatCode="#,##0.0" sourceLinked="0"/>
            <c:spPr>
              <a:noFill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'2.25'!$L$4:$L$25</c:f>
              <c:strCache>
                <c:ptCount val="22"/>
                <c:pt idx="0">
                  <c:v>Leżajsk</c:v>
                </c:pt>
                <c:pt idx="1">
                  <c:v>Kolbuszowa</c:v>
                </c:pt>
                <c:pt idx="2">
                  <c:v>Nisko</c:v>
                </c:pt>
                <c:pt idx="3">
                  <c:v>Jasło</c:v>
                </c:pt>
                <c:pt idx="4">
                  <c:v>Krosno</c:v>
                </c:pt>
                <c:pt idx="5">
                  <c:v>Tarnobrzeg</c:v>
                </c:pt>
                <c:pt idx="6">
                  <c:v>Rzeszów</c:v>
                </c:pt>
                <c:pt idx="7">
                  <c:v>Podkarpacie</c:v>
                </c:pt>
                <c:pt idx="8">
                  <c:v>Łańcut</c:v>
                </c:pt>
                <c:pt idx="9">
                  <c:v>Ustrzyki Dolne</c:v>
                </c:pt>
                <c:pt idx="10">
                  <c:v>Stalowa Wola</c:v>
                </c:pt>
                <c:pt idx="11">
                  <c:v>Mielec</c:v>
                </c:pt>
                <c:pt idx="12">
                  <c:v>Lesko</c:v>
                </c:pt>
                <c:pt idx="13">
                  <c:v>Sanok</c:v>
                </c:pt>
                <c:pt idx="14">
                  <c:v>Strzyżów</c:v>
                </c:pt>
                <c:pt idx="15">
                  <c:v>Przemyśl</c:v>
                </c:pt>
                <c:pt idx="16">
                  <c:v>Dębica</c:v>
                </c:pt>
                <c:pt idx="17">
                  <c:v>Jarosław</c:v>
                </c:pt>
                <c:pt idx="18">
                  <c:v>Ropczyce</c:v>
                </c:pt>
                <c:pt idx="19">
                  <c:v>Przeworsk</c:v>
                </c:pt>
                <c:pt idx="20">
                  <c:v>Brzozów</c:v>
                </c:pt>
                <c:pt idx="21">
                  <c:v>Lubaczów</c:v>
                </c:pt>
              </c:strCache>
            </c:strRef>
          </c:cat>
          <c:val>
            <c:numRef>
              <c:f>'2.25'!$M$4:$M$25</c:f>
              <c:numCache>
                <c:formatCode>#\ ##0.0</c:formatCode>
                <c:ptCount val="22"/>
                <c:pt idx="0">
                  <c:v>18.604651162790699</c:v>
                </c:pt>
                <c:pt idx="1">
                  <c:v>40</c:v>
                </c:pt>
                <c:pt idx="2">
                  <c:v>40</c:v>
                </c:pt>
                <c:pt idx="3">
                  <c:v>40.54054054054054</c:v>
                </c:pt>
                <c:pt idx="4">
                  <c:v>43.75</c:v>
                </c:pt>
                <c:pt idx="5">
                  <c:v>44.444444444444443</c:v>
                </c:pt>
                <c:pt idx="6">
                  <c:v>47.10144927536232</c:v>
                </c:pt>
                <c:pt idx="7">
                  <c:v>51.242236024844722</c:v>
                </c:pt>
                <c:pt idx="8">
                  <c:v>52.459016393442624</c:v>
                </c:pt>
                <c:pt idx="9">
                  <c:v>53.846153846153847</c:v>
                </c:pt>
                <c:pt idx="10">
                  <c:v>56.756756756756758</c:v>
                </c:pt>
                <c:pt idx="11">
                  <c:v>57.142857142857139</c:v>
                </c:pt>
                <c:pt idx="12">
                  <c:v>61.53846153846154</c:v>
                </c:pt>
                <c:pt idx="13">
                  <c:v>61.855670103092784</c:v>
                </c:pt>
                <c:pt idx="14">
                  <c:v>63.768115942028977</c:v>
                </c:pt>
                <c:pt idx="15">
                  <c:v>65.517241379310349</c:v>
                </c:pt>
                <c:pt idx="16">
                  <c:v>66.666666666666657</c:v>
                </c:pt>
                <c:pt idx="17">
                  <c:v>72.727272727272734</c:v>
                </c:pt>
                <c:pt idx="18">
                  <c:v>79.166666666666657</c:v>
                </c:pt>
                <c:pt idx="19">
                  <c:v>90.243902439024396</c:v>
                </c:pt>
                <c:pt idx="20">
                  <c:v>94.444444444444443</c:v>
                </c:pt>
                <c:pt idx="2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4F3-4F1B-9145-12F76EFF3C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16458752"/>
        <c:axId val="216462080"/>
      </c:barChart>
      <c:catAx>
        <c:axId val="216458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16462080"/>
        <c:crosses val="autoZero"/>
        <c:auto val="1"/>
        <c:lblAlgn val="ctr"/>
        <c:lblOffset val="100"/>
        <c:noMultiLvlLbl val="0"/>
      </c:catAx>
      <c:valAx>
        <c:axId val="216462080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1645875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'3.25'!$B$29</c:f>
              <c:strCache>
                <c:ptCount val="1"/>
                <c:pt idx="0">
                  <c:v>Prace interwencyjne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1A9-4CC3-9374-A85682DEA50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1A9-4CC3-9374-A85682DEA50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1A9-4CC3-9374-A85682DEA509}"/>
              </c:ext>
            </c:extLst>
          </c:dPt>
          <c:dPt>
            <c:idx val="7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4-31A9-4CC3-9374-A85682DEA50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1A9-4CC3-9374-A85682DEA50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1A9-4CC3-9374-A85682DEA50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1A9-4CC3-9374-A85682DEA50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1A9-4CC3-9374-A85682DEA509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'3.25'!$L$4:$L$25</c:f>
              <c:strCache>
                <c:ptCount val="22"/>
                <c:pt idx="0">
                  <c:v>Ropczyce</c:v>
                </c:pt>
                <c:pt idx="1">
                  <c:v>Mielec</c:v>
                </c:pt>
                <c:pt idx="2">
                  <c:v>Przeworsk</c:v>
                </c:pt>
                <c:pt idx="3">
                  <c:v>Nisko</c:v>
                </c:pt>
                <c:pt idx="4">
                  <c:v>Lesko</c:v>
                </c:pt>
                <c:pt idx="5">
                  <c:v>Rzeszów</c:v>
                </c:pt>
                <c:pt idx="6">
                  <c:v>Jasło</c:v>
                </c:pt>
                <c:pt idx="7">
                  <c:v>Podkarpacie</c:v>
                </c:pt>
                <c:pt idx="8">
                  <c:v>Sanok</c:v>
                </c:pt>
                <c:pt idx="9">
                  <c:v>Leżajsk</c:v>
                </c:pt>
                <c:pt idx="10">
                  <c:v>Ustrzyki Dolne</c:v>
                </c:pt>
                <c:pt idx="11">
                  <c:v>Kolbuszowa</c:v>
                </c:pt>
                <c:pt idx="12">
                  <c:v>Dębica</c:v>
                </c:pt>
                <c:pt idx="13">
                  <c:v>Tarnobrzeg</c:v>
                </c:pt>
                <c:pt idx="14">
                  <c:v>Jarosław</c:v>
                </c:pt>
                <c:pt idx="15">
                  <c:v>Brzozów</c:v>
                </c:pt>
                <c:pt idx="16">
                  <c:v>Lubaczów</c:v>
                </c:pt>
                <c:pt idx="17">
                  <c:v>Przemyśl</c:v>
                </c:pt>
                <c:pt idx="18">
                  <c:v>Łańcut</c:v>
                </c:pt>
                <c:pt idx="19">
                  <c:v>Krosno</c:v>
                </c:pt>
                <c:pt idx="20">
                  <c:v>Stalowa Wola</c:v>
                </c:pt>
                <c:pt idx="21">
                  <c:v>Strzyżów</c:v>
                </c:pt>
              </c:strCache>
            </c:strRef>
          </c:cat>
          <c:val>
            <c:numRef>
              <c:f>'3.25'!$M$4:$M$25</c:f>
              <c:numCache>
                <c:formatCode>#\ ##0.0</c:formatCode>
                <c:ptCount val="22"/>
                <c:pt idx="0">
                  <c:v>80.188679245283026</c:v>
                </c:pt>
                <c:pt idx="1">
                  <c:v>80.314960629921259</c:v>
                </c:pt>
                <c:pt idx="2">
                  <c:v>83.769633507853399</c:v>
                </c:pt>
                <c:pt idx="3">
                  <c:v>87.937743190661479</c:v>
                </c:pt>
                <c:pt idx="4">
                  <c:v>89.743589743589752</c:v>
                </c:pt>
                <c:pt idx="5">
                  <c:v>91.095890410958901</c:v>
                </c:pt>
                <c:pt idx="6">
                  <c:v>92.592592592592595</c:v>
                </c:pt>
                <c:pt idx="7">
                  <c:v>93.262653898768804</c:v>
                </c:pt>
                <c:pt idx="8">
                  <c:v>93.421052631578945</c:v>
                </c:pt>
                <c:pt idx="9">
                  <c:v>95.945945945945937</c:v>
                </c:pt>
                <c:pt idx="10">
                  <c:v>96.226415094339629</c:v>
                </c:pt>
                <c:pt idx="11">
                  <c:v>96.774193548387103</c:v>
                </c:pt>
                <c:pt idx="12">
                  <c:v>97.354497354497354</c:v>
                </c:pt>
                <c:pt idx="13">
                  <c:v>97.849462365591393</c:v>
                </c:pt>
                <c:pt idx="14">
                  <c:v>98.425196850393704</c:v>
                </c:pt>
                <c:pt idx="15">
                  <c:v>98.550724637681171</c:v>
                </c:pt>
                <c:pt idx="16">
                  <c:v>98.666666666666671</c:v>
                </c:pt>
                <c:pt idx="17">
                  <c:v>98.888888888888886</c:v>
                </c:pt>
                <c:pt idx="18">
                  <c:v>99.173553719008268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1A9-4CC3-9374-A85682DEA50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13975040"/>
        <c:axId val="213978112"/>
      </c:barChart>
      <c:catAx>
        <c:axId val="213975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13978112"/>
        <c:crosses val="autoZero"/>
        <c:auto val="1"/>
        <c:lblAlgn val="ctr"/>
        <c:lblOffset val="100"/>
        <c:noMultiLvlLbl val="0"/>
      </c:catAx>
      <c:valAx>
        <c:axId val="213978112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1397504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'4.25'!$B$30</c:f>
              <c:strCache>
                <c:ptCount val="1"/>
                <c:pt idx="0">
                  <c:v>Roboty publiczne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79A-4591-9985-B9F2C2157D1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79A-4591-9985-B9F2C2157D1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79A-4591-9985-B9F2C2157D15}"/>
              </c:ext>
            </c:extLst>
          </c:dPt>
          <c:dPt>
            <c:idx val="7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5-279A-4591-9985-B9F2C2157D1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79A-4591-9985-B9F2C2157D1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79A-4591-9985-B9F2C2157D1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79A-4591-9985-B9F2C2157D1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'4.25'!$L$4:$L$25</c:f>
              <c:strCache>
                <c:ptCount val="22"/>
                <c:pt idx="0">
                  <c:v>Nisko</c:v>
                </c:pt>
                <c:pt idx="1">
                  <c:v>Przeworsk</c:v>
                </c:pt>
                <c:pt idx="2">
                  <c:v>Sanok</c:v>
                </c:pt>
                <c:pt idx="3">
                  <c:v>Kolbuszowa</c:v>
                </c:pt>
                <c:pt idx="4">
                  <c:v>Ropczyce</c:v>
                </c:pt>
                <c:pt idx="5">
                  <c:v>Przemyśl</c:v>
                </c:pt>
                <c:pt idx="6">
                  <c:v>Jasło</c:v>
                </c:pt>
                <c:pt idx="7">
                  <c:v>Podkarpacie</c:v>
                </c:pt>
                <c:pt idx="8">
                  <c:v>Lesko</c:v>
                </c:pt>
                <c:pt idx="9">
                  <c:v>Leżajsk</c:v>
                </c:pt>
                <c:pt idx="10">
                  <c:v>Jarosław</c:v>
                </c:pt>
                <c:pt idx="11">
                  <c:v>Strzyżów</c:v>
                </c:pt>
                <c:pt idx="12">
                  <c:v>Rzeszów</c:v>
                </c:pt>
                <c:pt idx="13">
                  <c:v>Tarnobrzeg</c:v>
                </c:pt>
                <c:pt idx="14">
                  <c:v>Ustrzyki Dolne</c:v>
                </c:pt>
                <c:pt idx="15">
                  <c:v>Brzozów</c:v>
                </c:pt>
                <c:pt idx="16">
                  <c:v>Dębica</c:v>
                </c:pt>
                <c:pt idx="17">
                  <c:v>Krosno</c:v>
                </c:pt>
                <c:pt idx="18">
                  <c:v>Lubaczów</c:v>
                </c:pt>
                <c:pt idx="19">
                  <c:v>Łańcut</c:v>
                </c:pt>
                <c:pt idx="20">
                  <c:v>Mielec</c:v>
                </c:pt>
                <c:pt idx="21">
                  <c:v>Stalowa Wola</c:v>
                </c:pt>
              </c:strCache>
            </c:strRef>
          </c:cat>
          <c:val>
            <c:numRef>
              <c:f>'4.25'!$M$4:$M$25</c:f>
              <c:numCache>
                <c:formatCode>#\ ##0.0</c:formatCode>
                <c:ptCount val="22"/>
                <c:pt idx="0">
                  <c:v>69.230769230769226</c:v>
                </c:pt>
                <c:pt idx="1">
                  <c:v>81.818181818181827</c:v>
                </c:pt>
                <c:pt idx="2">
                  <c:v>88.888888888888886</c:v>
                </c:pt>
                <c:pt idx="3">
                  <c:v>94.117647058823522</c:v>
                </c:pt>
                <c:pt idx="4">
                  <c:v>94.339622641509436</c:v>
                </c:pt>
                <c:pt idx="5">
                  <c:v>94.444444444444443</c:v>
                </c:pt>
                <c:pt idx="6">
                  <c:v>95.3125</c:v>
                </c:pt>
                <c:pt idx="7">
                  <c:v>96.568977841315231</c:v>
                </c:pt>
                <c:pt idx="8">
                  <c:v>96.969696969696969</c:v>
                </c:pt>
                <c:pt idx="9">
                  <c:v>97.163120567375884</c:v>
                </c:pt>
                <c:pt idx="10">
                  <c:v>98.290598290598282</c:v>
                </c:pt>
                <c:pt idx="11">
                  <c:v>98.290598290598282</c:v>
                </c:pt>
                <c:pt idx="12">
                  <c:v>99.038461538461547</c:v>
                </c:pt>
                <c:pt idx="13">
                  <c:v>99.371069182389931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79A-4591-9985-B9F2C2157D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14034688"/>
        <c:axId val="227026432"/>
      </c:barChart>
      <c:catAx>
        <c:axId val="214034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/>
            </a:pPr>
            <a:endParaRPr lang="pl-PL"/>
          </a:p>
        </c:txPr>
        <c:crossAx val="227026432"/>
        <c:crosses val="autoZero"/>
        <c:auto val="1"/>
        <c:lblAlgn val="ctr"/>
        <c:lblOffset val="100"/>
        <c:noMultiLvlLbl val="0"/>
      </c:catAx>
      <c:valAx>
        <c:axId val="227026432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1403468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84285599397567"/>
          <c:y val="3.5242290748898682E-2"/>
          <c:w val="0.8423402715329108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'5.25'!$B$31</c:f>
              <c:strCache>
                <c:ptCount val="1"/>
                <c:pt idx="0">
                  <c:v>Dofinansowanie do podejmowania działalności gospodarczej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05B-4BF1-870F-C431DCA4D4B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05B-4BF1-870F-C431DCA4D4B3}"/>
              </c:ext>
            </c:extLst>
          </c:dPt>
          <c:dPt>
            <c:idx val="7"/>
            <c:invertIfNegative val="0"/>
            <c:bubble3D val="0"/>
            <c:spPr>
              <a:gradFill>
                <a:gsLst>
                  <a:gs pos="62000">
                    <a:srgbClr val="B9CDE5"/>
                  </a:gs>
                  <a:gs pos="0">
                    <a:srgbClr val="95B3D7"/>
                  </a:gs>
                  <a:gs pos="100000">
                    <a:srgbClr val="DCE6F2"/>
                  </a:gs>
                </a:gsLst>
                <a:lin ang="0" scaled="1"/>
              </a:gradFill>
              <a:effectLst>
                <a:outerShdw blurRad="50800" dist="50800" dir="5400000" sx="4000" sy="4000" algn="ctr" rotWithShape="0">
                  <a:srgbClr val="000000">
                    <a:alpha val="43137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05B-4BF1-870F-C431DCA4D4B3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05B-4BF1-870F-C431DCA4D4B3}"/>
              </c:ext>
            </c:extLst>
          </c:dPt>
          <c:dPt>
            <c:idx val="9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6-A05B-4BF1-870F-C431DCA4D4B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05B-4BF1-870F-C431DCA4D4B3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05B-4BF1-870F-C431DCA4D4B3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'5.25'!$L$4:$L$25</c:f>
              <c:strCache>
                <c:ptCount val="22"/>
                <c:pt idx="0">
                  <c:v>Leżajsk</c:v>
                </c:pt>
                <c:pt idx="1">
                  <c:v>Lesko</c:v>
                </c:pt>
                <c:pt idx="2">
                  <c:v>Łańcut</c:v>
                </c:pt>
                <c:pt idx="3">
                  <c:v>Przeworsk</c:v>
                </c:pt>
                <c:pt idx="4">
                  <c:v>Przemyśl</c:v>
                </c:pt>
                <c:pt idx="5">
                  <c:v>Stalowa Wola</c:v>
                </c:pt>
                <c:pt idx="6">
                  <c:v>Ropczyce</c:v>
                </c:pt>
                <c:pt idx="7">
                  <c:v>Jasło</c:v>
                </c:pt>
                <c:pt idx="8">
                  <c:v>Sanok</c:v>
                </c:pt>
                <c:pt idx="9">
                  <c:v>Podkarpacie</c:v>
                </c:pt>
                <c:pt idx="10">
                  <c:v>Ustrzyki Dolne</c:v>
                </c:pt>
                <c:pt idx="11">
                  <c:v>Tarnobrzeg</c:v>
                </c:pt>
                <c:pt idx="12">
                  <c:v>Rzeszów</c:v>
                </c:pt>
                <c:pt idx="13">
                  <c:v>Brzozów</c:v>
                </c:pt>
                <c:pt idx="14">
                  <c:v>Dębica</c:v>
                </c:pt>
                <c:pt idx="15">
                  <c:v>Jarosław</c:v>
                </c:pt>
                <c:pt idx="16">
                  <c:v>Kolbuszowa</c:v>
                </c:pt>
                <c:pt idx="17">
                  <c:v>Krosno</c:v>
                </c:pt>
                <c:pt idx="18">
                  <c:v>Lubaczów</c:v>
                </c:pt>
                <c:pt idx="19">
                  <c:v>Mielec</c:v>
                </c:pt>
                <c:pt idx="20">
                  <c:v>Nisko</c:v>
                </c:pt>
                <c:pt idx="21">
                  <c:v>Strzyżów</c:v>
                </c:pt>
              </c:strCache>
            </c:strRef>
          </c:cat>
          <c:val>
            <c:numRef>
              <c:f>'5.25'!$M$4:$M$25</c:f>
              <c:numCache>
                <c:formatCode>#\ ##0.0</c:formatCode>
                <c:ptCount val="22"/>
                <c:pt idx="0">
                  <c:v>89.393939393939391</c:v>
                </c:pt>
                <c:pt idx="1">
                  <c:v>92.1875</c:v>
                </c:pt>
                <c:pt idx="2">
                  <c:v>93.243243243243242</c:v>
                </c:pt>
                <c:pt idx="3">
                  <c:v>93.442622950819683</c:v>
                </c:pt>
                <c:pt idx="4">
                  <c:v>94.078947368421055</c:v>
                </c:pt>
                <c:pt idx="5">
                  <c:v>96.721311475409834</c:v>
                </c:pt>
                <c:pt idx="6">
                  <c:v>96.969696969696969</c:v>
                </c:pt>
                <c:pt idx="7">
                  <c:v>97.247706422018354</c:v>
                </c:pt>
                <c:pt idx="8">
                  <c:v>97.27272727272728</c:v>
                </c:pt>
                <c:pt idx="9">
                  <c:v>97.348066298342545</c:v>
                </c:pt>
                <c:pt idx="10">
                  <c:v>97.560975609756099</c:v>
                </c:pt>
                <c:pt idx="11">
                  <c:v>97.560975609756099</c:v>
                </c:pt>
                <c:pt idx="12">
                  <c:v>98.498498498498492</c:v>
                </c:pt>
                <c:pt idx="13">
                  <c:v>99.242424242424249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05B-4BF1-870F-C431DCA4D4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27095296"/>
        <c:axId val="227106816"/>
      </c:barChart>
      <c:catAx>
        <c:axId val="227095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27106816"/>
        <c:crosses val="autoZero"/>
        <c:auto val="1"/>
        <c:lblAlgn val="ctr"/>
        <c:lblOffset val="100"/>
        <c:noMultiLvlLbl val="0"/>
      </c:catAx>
      <c:valAx>
        <c:axId val="227106816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270952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'6.25'!$B$32</c:f>
              <c:strCache>
                <c:ptCount val="1"/>
                <c:pt idx="0">
                  <c:v>Refundacja kosztów wyposażenia i doposażenia stanowiska pracy</c:v>
                </c:pt>
              </c:strCache>
            </c:strRef>
          </c:tx>
          <c:spPr>
            <a:gradFill>
              <a:gsLst>
                <a:gs pos="57226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19F-4F16-9016-9DF01100C4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19F-4F16-9016-9DF01100C49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19F-4F16-9016-9DF01100C49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719F-4F16-9016-9DF01100C49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19F-4F16-9016-9DF01100C49D}"/>
              </c:ext>
            </c:extLst>
          </c:dPt>
          <c:dPt>
            <c:idx val="9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5-719F-4F16-9016-9DF01100C49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19F-4F16-9016-9DF01100C49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19F-4F16-9016-9DF01100C49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19F-4F16-9016-9DF01100C4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19F-4F16-9016-9DF01100C49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'6.25'!$L$4:$L$25</c:f>
              <c:strCache>
                <c:ptCount val="22"/>
                <c:pt idx="0">
                  <c:v>Leżajsk</c:v>
                </c:pt>
                <c:pt idx="1">
                  <c:v>Ropczyce</c:v>
                </c:pt>
                <c:pt idx="2">
                  <c:v>Krosno</c:v>
                </c:pt>
                <c:pt idx="3">
                  <c:v>Przeworsk</c:v>
                </c:pt>
                <c:pt idx="4">
                  <c:v>Łańcut</c:v>
                </c:pt>
                <c:pt idx="5">
                  <c:v>Mielec</c:v>
                </c:pt>
                <c:pt idx="6">
                  <c:v>Jasło</c:v>
                </c:pt>
                <c:pt idx="7">
                  <c:v>Nisko</c:v>
                </c:pt>
                <c:pt idx="8">
                  <c:v>Rzeszów</c:v>
                </c:pt>
                <c:pt idx="9">
                  <c:v>Podkarpacie</c:v>
                </c:pt>
                <c:pt idx="10">
                  <c:v>Stalowa Wola</c:v>
                </c:pt>
                <c:pt idx="11">
                  <c:v>Przemyśl</c:v>
                </c:pt>
                <c:pt idx="12">
                  <c:v>Sanok</c:v>
                </c:pt>
                <c:pt idx="13">
                  <c:v>Strzyżów</c:v>
                </c:pt>
                <c:pt idx="14">
                  <c:v>Brzozów</c:v>
                </c:pt>
                <c:pt idx="15">
                  <c:v>Kolbuszowa</c:v>
                </c:pt>
                <c:pt idx="16">
                  <c:v>Jarosław</c:v>
                </c:pt>
                <c:pt idx="17">
                  <c:v>Ustrzyki Dolne</c:v>
                </c:pt>
                <c:pt idx="18">
                  <c:v>Dębica</c:v>
                </c:pt>
                <c:pt idx="19">
                  <c:v>Lubaczów</c:v>
                </c:pt>
                <c:pt idx="20">
                  <c:v>Tarnobrzeg</c:v>
                </c:pt>
                <c:pt idx="21">
                  <c:v>Lesko</c:v>
                </c:pt>
              </c:strCache>
            </c:strRef>
          </c:cat>
          <c:val>
            <c:numRef>
              <c:f>'6.25'!$M$4:$M$25</c:f>
              <c:numCache>
                <c:formatCode>#\ ##0.0</c:formatCode>
                <c:ptCount val="22"/>
                <c:pt idx="0">
                  <c:v>78.94736842105263</c:v>
                </c:pt>
                <c:pt idx="1">
                  <c:v>79.381443298969074</c:v>
                </c:pt>
                <c:pt idx="2">
                  <c:v>83.15789473684211</c:v>
                </c:pt>
                <c:pt idx="3">
                  <c:v>85.365853658536579</c:v>
                </c:pt>
                <c:pt idx="4">
                  <c:v>85.507246376811594</c:v>
                </c:pt>
                <c:pt idx="5">
                  <c:v>85.714285714285708</c:v>
                </c:pt>
                <c:pt idx="6">
                  <c:v>86.021505376344081</c:v>
                </c:pt>
                <c:pt idx="7">
                  <c:v>88.888888888888886</c:v>
                </c:pt>
                <c:pt idx="8">
                  <c:v>89.029535864978897</c:v>
                </c:pt>
                <c:pt idx="9">
                  <c:v>89.86486486486487</c:v>
                </c:pt>
                <c:pt idx="10">
                  <c:v>91.83673469387756</c:v>
                </c:pt>
                <c:pt idx="11">
                  <c:v>92.134831460674164</c:v>
                </c:pt>
                <c:pt idx="12">
                  <c:v>92.20779220779221</c:v>
                </c:pt>
                <c:pt idx="13">
                  <c:v>94.666666666666671</c:v>
                </c:pt>
                <c:pt idx="14">
                  <c:v>97.916666666666657</c:v>
                </c:pt>
                <c:pt idx="15">
                  <c:v>98.591549295774655</c:v>
                </c:pt>
                <c:pt idx="16">
                  <c:v>99.193548387096769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19F-4F16-9016-9DF01100C49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27118080"/>
        <c:axId val="227154176"/>
      </c:barChart>
      <c:catAx>
        <c:axId val="227118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27154176"/>
        <c:crosses val="autoZero"/>
        <c:auto val="1"/>
        <c:lblAlgn val="ctr"/>
        <c:lblOffset val="100"/>
        <c:noMultiLvlLbl val="0"/>
      </c:catAx>
      <c:valAx>
        <c:axId val="227154176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2711808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'7.25'!$B$33</c:f>
              <c:strCache>
                <c:ptCount val="1"/>
                <c:pt idx="0">
                  <c:v>Bon na zasiedlenie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DA5-4DF6-8A2A-3CAC5FB07CB8}"/>
              </c:ext>
            </c:extLst>
          </c:dPt>
          <c:dPt>
            <c:idx val="5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1-0DA5-4DF6-8A2A-3CAC5FB07CB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DA5-4DF6-8A2A-3CAC5FB07CB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DA5-4DF6-8A2A-3CAC5FB07CB8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DA5-4DF6-8A2A-3CAC5FB07CB8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DA5-4DF6-8A2A-3CAC5FB07CB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DA5-4DF6-8A2A-3CAC5FB07CB8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DA5-4DF6-8A2A-3CAC5FB07CB8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DA5-4DF6-8A2A-3CAC5FB07CB8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'7.25'!$L$4:$L$25</c:f>
              <c:strCache>
                <c:ptCount val="22"/>
                <c:pt idx="0">
                  <c:v>Kolbuszowa</c:v>
                </c:pt>
                <c:pt idx="1">
                  <c:v>Przemyśl</c:v>
                </c:pt>
                <c:pt idx="2">
                  <c:v>Ustrzyki Dolne</c:v>
                </c:pt>
                <c:pt idx="3">
                  <c:v>Lesko</c:v>
                </c:pt>
                <c:pt idx="4">
                  <c:v>Jarosław</c:v>
                </c:pt>
                <c:pt idx="5">
                  <c:v>Podkarpacie</c:v>
                </c:pt>
                <c:pt idx="6">
                  <c:v>Jasło</c:v>
                </c:pt>
                <c:pt idx="7">
                  <c:v>Stalowa Wola</c:v>
                </c:pt>
                <c:pt idx="8">
                  <c:v>Leżajsk</c:v>
                </c:pt>
                <c:pt idx="9">
                  <c:v>Przeworsk</c:v>
                </c:pt>
                <c:pt idx="10">
                  <c:v>Strzyżów</c:v>
                </c:pt>
                <c:pt idx="11">
                  <c:v>Brzozów</c:v>
                </c:pt>
                <c:pt idx="12">
                  <c:v>Lubaczów</c:v>
                </c:pt>
                <c:pt idx="13">
                  <c:v>Nisko</c:v>
                </c:pt>
                <c:pt idx="14">
                  <c:v>Ropczyce</c:v>
                </c:pt>
                <c:pt idx="15">
                  <c:v>Dębica</c:v>
                </c:pt>
                <c:pt idx="16">
                  <c:v>Sanok</c:v>
                </c:pt>
                <c:pt idx="17">
                  <c:v>Łańcut</c:v>
                </c:pt>
                <c:pt idx="18">
                  <c:v>Rzeszów</c:v>
                </c:pt>
                <c:pt idx="19">
                  <c:v>Krosno</c:v>
                </c:pt>
                <c:pt idx="20">
                  <c:v>Mielec</c:v>
                </c:pt>
                <c:pt idx="21">
                  <c:v>Tarnobrzeg</c:v>
                </c:pt>
              </c:strCache>
            </c:strRef>
          </c:cat>
          <c:val>
            <c:numRef>
              <c:f>'7.25'!$M$4:$M$25</c:f>
              <c:numCache>
                <c:formatCode>#\ ##0.0</c:formatCode>
                <c:ptCount val="22"/>
                <c:pt idx="0">
                  <c:v>0</c:v>
                </c:pt>
                <c:pt idx="1">
                  <c:v>56.684491978609628</c:v>
                </c:pt>
                <c:pt idx="2">
                  <c:v>76.923076923076934</c:v>
                </c:pt>
                <c:pt idx="3">
                  <c:v>77.272727272727266</c:v>
                </c:pt>
                <c:pt idx="4">
                  <c:v>80.645161290322577</c:v>
                </c:pt>
                <c:pt idx="5">
                  <c:v>82.754759238521842</c:v>
                </c:pt>
                <c:pt idx="6">
                  <c:v>84.090909090909093</c:v>
                </c:pt>
                <c:pt idx="7">
                  <c:v>87.096774193548384</c:v>
                </c:pt>
                <c:pt idx="8">
                  <c:v>87.5</c:v>
                </c:pt>
                <c:pt idx="9">
                  <c:v>88.888888888888886</c:v>
                </c:pt>
                <c:pt idx="10">
                  <c:v>88.888888888888886</c:v>
                </c:pt>
                <c:pt idx="11">
                  <c:v>89.830508474576277</c:v>
                </c:pt>
                <c:pt idx="12">
                  <c:v>90.277777777777786</c:v>
                </c:pt>
                <c:pt idx="13">
                  <c:v>91.666666666666657</c:v>
                </c:pt>
                <c:pt idx="14">
                  <c:v>92.307692307692307</c:v>
                </c:pt>
                <c:pt idx="15">
                  <c:v>93.548387096774192</c:v>
                </c:pt>
                <c:pt idx="16">
                  <c:v>94.444444444444443</c:v>
                </c:pt>
                <c:pt idx="17">
                  <c:v>95.833333333333343</c:v>
                </c:pt>
                <c:pt idx="18">
                  <c:v>95.945945945945937</c:v>
                </c:pt>
                <c:pt idx="19">
                  <c:v>97.058823529411768</c:v>
                </c:pt>
                <c:pt idx="20">
                  <c:v>100</c:v>
                </c:pt>
                <c:pt idx="2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DA5-4DF6-8A2A-3CAC5FB07C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27239040"/>
        <c:axId val="227250560"/>
      </c:barChart>
      <c:catAx>
        <c:axId val="227239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27250560"/>
        <c:crosses val="autoZero"/>
        <c:auto val="1"/>
        <c:lblAlgn val="ctr"/>
        <c:lblOffset val="100"/>
        <c:noMultiLvlLbl val="0"/>
      </c:catAx>
      <c:valAx>
        <c:axId val="227250560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2723904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048692037579222E-2"/>
          <c:y val="3.7095317032739328E-2"/>
          <c:w val="0.90582367379243467"/>
          <c:h val="0.668439846274773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'EK24'!$F$1</c:f>
              <c:strCache>
                <c:ptCount val="1"/>
                <c:pt idx="0">
                  <c:v>Efektywnosć kosztowa w 2025 r.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  <a:alpha val="62000"/>
              </a:schemeClr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189-4210-A180-A1347EF1049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189-4210-A180-A1347EF1049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189-4210-A180-A1347EF1049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189-4210-A180-A1347EF1049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189-4210-A180-A1347EF1049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189-4210-A180-A1347EF1049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189-4210-A180-A1347EF1049F}"/>
              </c:ext>
            </c:extLst>
          </c:dPt>
          <c:dLbls>
            <c:dLbl>
              <c:idx val="0"/>
              <c:layout>
                <c:manualLayout>
                  <c:x val="3.290277915620741E-3"/>
                  <c:y val="4.9397251410549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89-4210-A180-A1347EF1049F}"/>
                </c:ext>
              </c:extLst>
            </c:dLbl>
            <c:dLbl>
              <c:idx val="1"/>
              <c:layout>
                <c:manualLayout>
                  <c:x val="5.2643236321472924E-3"/>
                  <c:y val="5.2174384684731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89-4210-A180-A1347EF1049F}"/>
                </c:ext>
              </c:extLst>
            </c:dLbl>
            <c:dLbl>
              <c:idx val="2"/>
              <c:layout>
                <c:manualLayout>
                  <c:x val="1.974045716526551E-3"/>
                  <c:y val="4.6753249599304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89-4210-A180-A1347EF1049F}"/>
                </c:ext>
              </c:extLst>
            </c:dLbl>
            <c:dLbl>
              <c:idx val="3"/>
              <c:layout>
                <c:manualLayout>
                  <c:x val="0"/>
                  <c:y val="4.3558368421874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89-4210-A180-A1347EF1049F}"/>
                </c:ext>
              </c:extLst>
            </c:dLbl>
            <c:dLbl>
              <c:idx val="4"/>
              <c:layout>
                <c:manualLayout>
                  <c:x val="-1.9038466659081941E-3"/>
                  <c:y val="6.1929140641885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89-4210-A180-A1347EF1049F}"/>
                </c:ext>
              </c:extLst>
            </c:dLbl>
            <c:dLbl>
              <c:idx val="5"/>
              <c:layout>
                <c:manualLayout>
                  <c:x val="1.3160304776842734E-3"/>
                  <c:y val="5.4971241138608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89-4210-A180-A1347EF1049F}"/>
                </c:ext>
              </c:extLst>
            </c:dLbl>
            <c:dLbl>
              <c:idx val="6"/>
              <c:layout>
                <c:manualLayout>
                  <c:x val="-9.393385137564708E-17"/>
                  <c:y val="4.5918301658911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89-4210-A180-A1347EF1049F}"/>
                </c:ext>
              </c:extLst>
            </c:dLbl>
            <c:dLbl>
              <c:idx val="7"/>
              <c:layout>
                <c:manualLayout>
                  <c:x val="2.5618619047503778E-3"/>
                  <c:y val="4.8705296522940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89-4210-A180-A1347EF1049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'EK24'!$F$5:$F$12</c:f>
              <c:strCache>
                <c:ptCount val="8"/>
                <c:pt idx="0">
                  <c:v>dof. działaln.</c:v>
                </c:pt>
                <c:pt idx="1">
                  <c:v>refund. koszt.</c:v>
                </c:pt>
                <c:pt idx="2">
                  <c:v>roboty publ.</c:v>
                </c:pt>
                <c:pt idx="3">
                  <c:v>6 Podst. form - efektywność  kosztowa tj. koszt ponownego zatrud.,  w zł. średni na 1 osobę zatr. po zak. prog.</c:v>
                </c:pt>
                <c:pt idx="4">
                  <c:v>6 Podst. form - efektywność  kosztowa tj. koszt ponownego zatrud.,  w zł. średni na 1 osobę zatr. po zak. prog.</c:v>
                </c:pt>
                <c:pt idx="5">
                  <c:v>staże</c:v>
                </c:pt>
                <c:pt idx="6">
                  <c:v>bon na zas.</c:v>
                </c:pt>
                <c:pt idx="7">
                  <c:v>prace interw.</c:v>
                </c:pt>
              </c:strCache>
            </c:strRef>
          </c:cat>
          <c:val>
            <c:numRef>
              <c:f>'EK24'!$G$5:$G$12</c:f>
              <c:numCache>
                <c:formatCode>#\ ##0.0</c:formatCode>
                <c:ptCount val="8"/>
                <c:pt idx="0">
                  <c:v>34538.310051078319</c:v>
                </c:pt>
                <c:pt idx="1">
                  <c:v>30333.703615857823</c:v>
                </c:pt>
                <c:pt idx="2">
                  <c:v>22106.118038490007</c:v>
                </c:pt>
                <c:pt idx="3">
                  <c:v>20887.82594161715</c:v>
                </c:pt>
                <c:pt idx="4">
                  <c:v>20408.839881800515</c:v>
                </c:pt>
                <c:pt idx="5">
                  <c:v>18392.965695890409</c:v>
                </c:pt>
                <c:pt idx="6">
                  <c:v>12881.823491204332</c:v>
                </c:pt>
                <c:pt idx="7">
                  <c:v>12347.160524385772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189-4210-A180-A1347EF104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227265536"/>
        <c:axId val="230316288"/>
      </c:barChart>
      <c:catAx>
        <c:axId val="22726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30316288"/>
        <c:crosses val="autoZero"/>
        <c:auto val="1"/>
        <c:lblAlgn val="ctr"/>
        <c:lblOffset val="100"/>
        <c:noMultiLvlLbl val="0"/>
      </c:catAx>
      <c:valAx>
        <c:axId val="230316288"/>
        <c:scaling>
          <c:orientation val="minMax"/>
        </c:scaling>
        <c:delete val="0"/>
        <c:axPos val="l"/>
        <c:majorGridlines>
          <c:spPr>
            <a:ln w="3175">
              <a:solidFill>
                <a:schemeClr val="accent1">
                  <a:lumMod val="75000"/>
                  <a:alpha val="57000"/>
                </a:schemeClr>
              </a:solidFill>
            </a:ln>
          </c:spPr>
        </c:majorGridlines>
        <c:min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FF"/>
            </a:solidFill>
          </a:ln>
        </c:spPr>
        <c:txPr>
          <a:bodyPr/>
          <a:lstStyle/>
          <a:p>
            <a:pPr>
              <a:defRPr sz="7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2726553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I.25!$B$27</c:f>
              <c:strCache>
                <c:ptCount val="1"/>
                <c:pt idx="0">
                  <c:v>Staże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1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EA2-4DE9-AA39-FAFDA190876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EA2-4DE9-AA39-FAFDA190876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EA2-4DE9-AA39-FAFDA190876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EA2-4DE9-AA39-FAFDA190876B}"/>
              </c:ext>
            </c:extLst>
          </c:dPt>
          <c:dPt>
            <c:idx val="10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4-1EA2-4DE9-AA39-FAFDA190876B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EA2-4DE9-AA39-FAFDA190876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EA2-4DE9-AA39-FAFDA190876B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EA2-4DE9-AA39-FAFDA19087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I.25!$L$4:$L$25</c:f>
              <c:strCache>
                <c:ptCount val="22"/>
                <c:pt idx="0">
                  <c:v>Lubaczów</c:v>
                </c:pt>
                <c:pt idx="1">
                  <c:v>Tarnobrzeg</c:v>
                </c:pt>
                <c:pt idx="2">
                  <c:v>Strzyżów</c:v>
                </c:pt>
                <c:pt idx="3">
                  <c:v>Rzeszów</c:v>
                </c:pt>
                <c:pt idx="4">
                  <c:v>Krosno</c:v>
                </c:pt>
                <c:pt idx="5">
                  <c:v>Jarosław</c:v>
                </c:pt>
                <c:pt idx="6">
                  <c:v>Ustrzyki Dolne</c:v>
                </c:pt>
                <c:pt idx="7">
                  <c:v>Mielec</c:v>
                </c:pt>
                <c:pt idx="8">
                  <c:v>Stalowa Wola</c:v>
                </c:pt>
                <c:pt idx="9">
                  <c:v>Leżajsk</c:v>
                </c:pt>
                <c:pt idx="10">
                  <c:v>Podkarpacie</c:v>
                </c:pt>
                <c:pt idx="11">
                  <c:v>Lesko</c:v>
                </c:pt>
                <c:pt idx="12">
                  <c:v>Ropczyce</c:v>
                </c:pt>
                <c:pt idx="13">
                  <c:v>Jasło</c:v>
                </c:pt>
                <c:pt idx="14">
                  <c:v>Brzozów</c:v>
                </c:pt>
                <c:pt idx="15">
                  <c:v>Przemyśl</c:v>
                </c:pt>
                <c:pt idx="16">
                  <c:v>Kolbuszowa</c:v>
                </c:pt>
                <c:pt idx="17">
                  <c:v>Łańcut</c:v>
                </c:pt>
                <c:pt idx="18">
                  <c:v>Sanok</c:v>
                </c:pt>
                <c:pt idx="19">
                  <c:v>Nisko</c:v>
                </c:pt>
                <c:pt idx="20">
                  <c:v>Przeworsk</c:v>
                </c:pt>
                <c:pt idx="21">
                  <c:v>Dębica</c:v>
                </c:pt>
              </c:strCache>
            </c:strRef>
          </c:cat>
          <c:val>
            <c:numRef>
              <c:f>I.25!$M$4:$M$25</c:f>
              <c:numCache>
                <c:formatCode>#\ ##0.0</c:formatCode>
                <c:ptCount val="22"/>
                <c:pt idx="0">
                  <c:v>14347.0075</c:v>
                </c:pt>
                <c:pt idx="1">
                  <c:v>15039.525506329113</c:v>
                </c:pt>
                <c:pt idx="2">
                  <c:v>15305.461784232366</c:v>
                </c:pt>
                <c:pt idx="3">
                  <c:v>15376.536067796609</c:v>
                </c:pt>
                <c:pt idx="4">
                  <c:v>16338.483195266273</c:v>
                </c:pt>
                <c:pt idx="5">
                  <c:v>16915.526422413794</c:v>
                </c:pt>
                <c:pt idx="6">
                  <c:v>17215.242705882352</c:v>
                </c:pt>
                <c:pt idx="7">
                  <c:v>17626.840360824743</c:v>
                </c:pt>
                <c:pt idx="8">
                  <c:v>17818.265393939393</c:v>
                </c:pt>
                <c:pt idx="9">
                  <c:v>17831.99090909091</c:v>
                </c:pt>
                <c:pt idx="10">
                  <c:v>18392.965695890409</c:v>
                </c:pt>
                <c:pt idx="11">
                  <c:v>18791.869565217392</c:v>
                </c:pt>
                <c:pt idx="12">
                  <c:v>18855.229770114944</c:v>
                </c:pt>
                <c:pt idx="13">
                  <c:v>19743.800962566846</c:v>
                </c:pt>
                <c:pt idx="14">
                  <c:v>19766.191826923077</c:v>
                </c:pt>
                <c:pt idx="15">
                  <c:v>20774.599173553717</c:v>
                </c:pt>
                <c:pt idx="16">
                  <c:v>21030.050721649484</c:v>
                </c:pt>
                <c:pt idx="17">
                  <c:v>21100.202897196261</c:v>
                </c:pt>
                <c:pt idx="18">
                  <c:v>21536.895444444446</c:v>
                </c:pt>
                <c:pt idx="19">
                  <c:v>22950.568740740739</c:v>
                </c:pt>
                <c:pt idx="20">
                  <c:v>23368.433911290325</c:v>
                </c:pt>
                <c:pt idx="21">
                  <c:v>24909.382870370373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EA2-4DE9-AA39-FAFDA19087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30373248"/>
        <c:axId val="230401152"/>
      </c:barChart>
      <c:catAx>
        <c:axId val="230373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30401152"/>
        <c:crosses val="autoZero"/>
        <c:auto val="1"/>
        <c:lblAlgn val="ctr"/>
        <c:lblOffset val="100"/>
        <c:noMultiLvlLbl val="0"/>
      </c:catAx>
      <c:valAx>
        <c:axId val="230401152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3037324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II.25!$B$28</c:f>
              <c:strCache>
                <c:ptCount val="1"/>
                <c:pt idx="0">
                  <c:v>Szkolenia</c:v>
                </c:pt>
              </c:strCache>
            </c:strRef>
          </c:tx>
          <c:spPr>
            <a:gradFill>
              <a:gsLst>
                <a:gs pos="50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B3E-4586-925A-1310431EEE5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B3E-4586-925A-1310431EEE5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B3E-4586-925A-1310431EEE5E}"/>
              </c:ext>
            </c:extLst>
          </c:dPt>
          <c:dPt>
            <c:idx val="6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5-FB3E-4586-925A-1310431EEE5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B3E-4586-925A-1310431EEE5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B3E-4586-925A-1310431EEE5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B3E-4586-925A-1310431EEE5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B3E-4586-925A-1310431EEE5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FB3E-4586-925A-1310431EEE5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II.25!$L$4:$L$25</c:f>
              <c:strCache>
                <c:ptCount val="22"/>
                <c:pt idx="0">
                  <c:v>Rzeszów</c:v>
                </c:pt>
                <c:pt idx="1">
                  <c:v>Łańcut</c:v>
                </c:pt>
                <c:pt idx="2">
                  <c:v>Dębica</c:v>
                </c:pt>
                <c:pt idx="3">
                  <c:v>Brzozów</c:v>
                </c:pt>
                <c:pt idx="4">
                  <c:v>Przeworsk</c:v>
                </c:pt>
                <c:pt idx="5">
                  <c:v>Lubaczów</c:v>
                </c:pt>
                <c:pt idx="6">
                  <c:v>Podkarpacie</c:v>
                </c:pt>
                <c:pt idx="7">
                  <c:v>Sanok</c:v>
                </c:pt>
                <c:pt idx="8">
                  <c:v>Mielec</c:v>
                </c:pt>
                <c:pt idx="9">
                  <c:v>Stalowa Wola</c:v>
                </c:pt>
                <c:pt idx="10">
                  <c:v>Jarosław</c:v>
                </c:pt>
                <c:pt idx="11">
                  <c:v>Strzyżów</c:v>
                </c:pt>
                <c:pt idx="12">
                  <c:v>Krosno</c:v>
                </c:pt>
                <c:pt idx="13">
                  <c:v>Ropczyce</c:v>
                </c:pt>
                <c:pt idx="14">
                  <c:v>Przemyśl</c:v>
                </c:pt>
                <c:pt idx="15">
                  <c:v>Kolbuszowa</c:v>
                </c:pt>
                <c:pt idx="16">
                  <c:v>Lesko</c:v>
                </c:pt>
                <c:pt idx="17">
                  <c:v>Jasło</c:v>
                </c:pt>
                <c:pt idx="18">
                  <c:v>Tarnobrzeg</c:v>
                </c:pt>
                <c:pt idx="19">
                  <c:v>Ustrzyki Dolne</c:v>
                </c:pt>
                <c:pt idx="20">
                  <c:v>Nisko</c:v>
                </c:pt>
                <c:pt idx="21">
                  <c:v>Leżajsk</c:v>
                </c:pt>
              </c:strCache>
            </c:strRef>
          </c:cat>
          <c:val>
            <c:numRef>
              <c:f>II.25!$M$4:$M$25</c:f>
              <c:numCache>
                <c:formatCode>#\ ##0.0</c:formatCode>
                <c:ptCount val="22"/>
                <c:pt idx="0">
                  <c:v>5083.8857307692306</c:v>
                </c:pt>
                <c:pt idx="1">
                  <c:v>6174.4281250000004</c:v>
                </c:pt>
                <c:pt idx="2">
                  <c:v>7253.38</c:v>
                </c:pt>
                <c:pt idx="3">
                  <c:v>9153.7711764705873</c:v>
                </c:pt>
                <c:pt idx="4">
                  <c:v>9671.8372972972975</c:v>
                </c:pt>
                <c:pt idx="5">
                  <c:v>9785.2900000000009</c:v>
                </c:pt>
                <c:pt idx="6">
                  <c:v>10098.81053030303</c:v>
                </c:pt>
                <c:pt idx="7">
                  <c:v>10350.701666666666</c:v>
                </c:pt>
                <c:pt idx="8">
                  <c:v>11511.252500000001</c:v>
                </c:pt>
                <c:pt idx="9">
                  <c:v>12213.680476190479</c:v>
                </c:pt>
                <c:pt idx="10">
                  <c:v>13146.98625</c:v>
                </c:pt>
                <c:pt idx="11">
                  <c:v>13517.788409090908</c:v>
                </c:pt>
                <c:pt idx="12">
                  <c:v>13560.481428571427</c:v>
                </c:pt>
                <c:pt idx="13">
                  <c:v>15120.53</c:v>
                </c:pt>
                <c:pt idx="14">
                  <c:v>15984.357894736842</c:v>
                </c:pt>
                <c:pt idx="15">
                  <c:v>17478.610999999997</c:v>
                </c:pt>
                <c:pt idx="16">
                  <c:v>17502.547500000001</c:v>
                </c:pt>
                <c:pt idx="17">
                  <c:v>17613.050666666666</c:v>
                </c:pt>
                <c:pt idx="18">
                  <c:v>19238.223750000001</c:v>
                </c:pt>
                <c:pt idx="19">
                  <c:v>20668.188571428571</c:v>
                </c:pt>
                <c:pt idx="20">
                  <c:v>20913.46125</c:v>
                </c:pt>
                <c:pt idx="21">
                  <c:v>25349.94875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B3E-4586-925A-1310431EEE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38121344"/>
        <c:axId val="238124416"/>
      </c:barChart>
      <c:catAx>
        <c:axId val="238121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38124416"/>
        <c:crosses val="autoZero"/>
        <c:auto val="1"/>
        <c:lblAlgn val="ctr"/>
        <c:lblOffset val="100"/>
        <c:noMultiLvlLbl val="0"/>
      </c:catAx>
      <c:valAx>
        <c:axId val="238124416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3812134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III.25!$B$29</c:f>
              <c:strCache>
                <c:ptCount val="1"/>
                <c:pt idx="0">
                  <c:v>Prace interwencyjne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6D0-4F04-9661-B81F214C971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6D0-4F04-9661-B81F214C971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6D0-4F04-9661-B81F214C971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6D0-4F04-9661-B81F214C971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6D0-4F04-9661-B81F214C971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6D0-4F04-9661-B81F214C971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6D0-4F04-9661-B81F214C9711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6D0-4F04-9661-B81F214C9711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6D0-4F04-9661-B81F214C9711}"/>
              </c:ext>
            </c:extLst>
          </c:dPt>
          <c:dPt>
            <c:idx val="14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B-EA33-4BD1-B967-A632CEA11DB6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III.25!$L$4:$L$25</c:f>
              <c:strCache>
                <c:ptCount val="22"/>
                <c:pt idx="0">
                  <c:v>Jarosław</c:v>
                </c:pt>
                <c:pt idx="1">
                  <c:v>Brzozów</c:v>
                </c:pt>
                <c:pt idx="2">
                  <c:v>Kolbuszowa</c:v>
                </c:pt>
                <c:pt idx="3">
                  <c:v>Dębica</c:v>
                </c:pt>
                <c:pt idx="4">
                  <c:v>Leżajsk</c:v>
                </c:pt>
                <c:pt idx="5">
                  <c:v>Jasło</c:v>
                </c:pt>
                <c:pt idx="6">
                  <c:v>Tarnobrzeg</c:v>
                </c:pt>
                <c:pt idx="7">
                  <c:v>Krosno</c:v>
                </c:pt>
                <c:pt idx="8">
                  <c:v>Rzeszów</c:v>
                </c:pt>
                <c:pt idx="9">
                  <c:v>Nisko</c:v>
                </c:pt>
                <c:pt idx="10">
                  <c:v>Mielec</c:v>
                </c:pt>
                <c:pt idx="11">
                  <c:v>Sanok</c:v>
                </c:pt>
                <c:pt idx="12">
                  <c:v>Lubaczów</c:v>
                </c:pt>
                <c:pt idx="13">
                  <c:v>Stalowa Wola</c:v>
                </c:pt>
                <c:pt idx="14">
                  <c:v>Podkarpacie</c:v>
                </c:pt>
                <c:pt idx="15">
                  <c:v>Łańcut</c:v>
                </c:pt>
                <c:pt idx="16">
                  <c:v>Przemyśl</c:v>
                </c:pt>
                <c:pt idx="17">
                  <c:v>Lesko</c:v>
                </c:pt>
                <c:pt idx="18">
                  <c:v>Ropczyce</c:v>
                </c:pt>
                <c:pt idx="19">
                  <c:v>Strzyżów</c:v>
                </c:pt>
                <c:pt idx="20">
                  <c:v>Ustrzyki Dolne</c:v>
                </c:pt>
                <c:pt idx="21">
                  <c:v>Przeworsk</c:v>
                </c:pt>
              </c:strCache>
            </c:strRef>
          </c:cat>
          <c:val>
            <c:numRef>
              <c:f>III.25!$M$4:$M$25</c:f>
              <c:numCache>
                <c:formatCode>#\ ##0.0</c:formatCode>
                <c:ptCount val="22"/>
                <c:pt idx="0">
                  <c:v>7179.6699200000003</c:v>
                </c:pt>
                <c:pt idx="1">
                  <c:v>9294.6093382352956</c:v>
                </c:pt>
                <c:pt idx="2">
                  <c:v>9612.0897777777773</c:v>
                </c:pt>
                <c:pt idx="3">
                  <c:v>9652.3577173913054</c:v>
                </c:pt>
                <c:pt idx="4">
                  <c:v>9857.1518309859166</c:v>
                </c:pt>
                <c:pt idx="5">
                  <c:v>9960.3185333333331</c:v>
                </c:pt>
                <c:pt idx="6">
                  <c:v>10424.767582417582</c:v>
                </c:pt>
                <c:pt idx="7">
                  <c:v>10450.554743589744</c:v>
                </c:pt>
                <c:pt idx="8">
                  <c:v>11100.79969924812</c:v>
                </c:pt>
                <c:pt idx="9">
                  <c:v>11318.09407079646</c:v>
                </c:pt>
                <c:pt idx="10">
                  <c:v>11450.537990196079</c:v>
                </c:pt>
                <c:pt idx="11">
                  <c:v>11760.912112676056</c:v>
                </c:pt>
                <c:pt idx="12">
                  <c:v>11910.110540540541</c:v>
                </c:pt>
                <c:pt idx="13">
                  <c:v>12231.750729166668</c:v>
                </c:pt>
                <c:pt idx="14">
                  <c:v>12347.160524385772</c:v>
                </c:pt>
                <c:pt idx="15">
                  <c:v>14383.268333333333</c:v>
                </c:pt>
                <c:pt idx="16">
                  <c:v>15361.943445692883</c:v>
                </c:pt>
                <c:pt idx="17">
                  <c:v>15372.428285714286</c:v>
                </c:pt>
                <c:pt idx="18">
                  <c:v>15478.092470588237</c:v>
                </c:pt>
                <c:pt idx="19">
                  <c:v>17291.258000000002</c:v>
                </c:pt>
                <c:pt idx="20">
                  <c:v>18468.831372549019</c:v>
                </c:pt>
                <c:pt idx="21">
                  <c:v>18597.644124999999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6D0-4F04-9661-B81F214C97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27428992"/>
        <c:axId val="227452800"/>
      </c:barChart>
      <c:catAx>
        <c:axId val="227428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27452800"/>
        <c:crosses val="autoZero"/>
        <c:auto val="1"/>
        <c:lblAlgn val="ctr"/>
        <c:lblOffset val="100"/>
        <c:noMultiLvlLbl val="0"/>
      </c:catAx>
      <c:valAx>
        <c:axId val="227452800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274289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chemeClr val="tx2">
            <a:lumMod val="75000"/>
            <a:alpha val="20000"/>
          </a:scheme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0461613620993841"/>
          <c:y val="4.187089820399556E-2"/>
          <c:w val="0.87281770765615119"/>
          <c:h val="0.8258482042350625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S.25!$C$36</c:f>
              <c:strCache>
                <c:ptCount val="1"/>
                <c:pt idx="0">
                  <c:v>KOSZTY (w tys. zł.)</c:v>
                </c:pt>
              </c:strCache>
            </c:strRef>
          </c:tx>
          <c:spPr>
            <a:solidFill>
              <a:schemeClr val="tx2">
                <a:lumMod val="40000"/>
                <a:lumOff val="60000"/>
                <a:alpha val="77255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F34-4A26-8621-045D84C7F47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F34-4A26-8621-045D84C7F47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F34-4A26-8621-045D84C7F47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F34-4A26-8621-045D84C7F47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F34-4A26-8621-045D84C7F47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F34-4A26-8621-045D84C7F47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F34-4A26-8621-045D84C7F47A}"/>
              </c:ext>
            </c:extLst>
          </c:dPt>
          <c:dLbls>
            <c:dLbl>
              <c:idx val="0"/>
              <c:layout>
                <c:manualLayout>
                  <c:x val="2.178858389138135E-3"/>
                  <c:y val="0.311074547944176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34-4A26-8621-045D84C7F47A}"/>
                </c:ext>
              </c:extLst>
            </c:dLbl>
            <c:dLbl>
              <c:idx val="1"/>
              <c:layout>
                <c:manualLayout>
                  <c:x val="3.933891843574424E-3"/>
                  <c:y val="0.310352906491522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34-4A26-8621-045D84C7F47A}"/>
                </c:ext>
              </c:extLst>
            </c:dLbl>
            <c:dLbl>
              <c:idx val="2"/>
              <c:layout>
                <c:manualLayout>
                  <c:x val="8.6121440066104487E-3"/>
                  <c:y val="1.1652477654337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34-4A26-8621-045D84C7F47A}"/>
                </c:ext>
              </c:extLst>
            </c:dLbl>
            <c:dLbl>
              <c:idx val="3"/>
              <c:layout>
                <c:manualLayout>
                  <c:x val="1.0338910613472288E-2"/>
                  <c:y val="1.97853067634759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34-4A26-8621-045D84C7F47A}"/>
                </c:ext>
              </c:extLst>
            </c:dLbl>
            <c:dLbl>
              <c:idx val="4"/>
              <c:layout>
                <c:manualLayout>
                  <c:x val="4.4514062667778027E-3"/>
                  <c:y val="1.5136254313734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34-4A26-8621-045D84C7F47A}"/>
                </c:ext>
              </c:extLst>
            </c:dLbl>
            <c:dLbl>
              <c:idx val="5"/>
              <c:layout>
                <c:manualLayout>
                  <c:x val="8.0784517020908927E-3"/>
                  <c:y val="9.57078728139868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34-4A26-8621-045D84C7F47A}"/>
                </c:ext>
              </c:extLst>
            </c:dLbl>
            <c:dLbl>
              <c:idx val="6"/>
              <c:layout>
                <c:manualLayout>
                  <c:x val="8.4578319079019887E-3"/>
                  <c:y val="1.0490845102394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34-4A26-8621-045D84C7F47A}"/>
                </c:ext>
              </c:extLst>
            </c:dLbl>
            <c:dLbl>
              <c:idx val="7"/>
              <c:layout>
                <c:manualLayout>
                  <c:x val="9.2286812857824505E-3"/>
                  <c:y val="-2.87003111325595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34-4A26-8621-045D84C7F47A}"/>
                </c:ext>
              </c:extLst>
            </c:dLbl>
            <c:dLbl>
              <c:idx val="8"/>
              <c:layout>
                <c:manualLayout>
                  <c:x val="2.2577922276480348E-3"/>
                  <c:y val="-1.3164701840171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34-4A26-8621-045D84C7F47A}"/>
                </c:ext>
              </c:extLst>
            </c:dLbl>
            <c:spPr>
              <a:solidFill>
                <a:schemeClr val="bg1"/>
              </a:solidFill>
            </c:spPr>
            <c:txPr>
              <a:bodyPr rot="-5400000" vert="horz"/>
              <a:lstStyle/>
              <a:p>
                <a:pPr>
                  <a:defRPr sz="105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S.25!$B$37:$B$45</c:f>
              <c:strCache>
                <c:ptCount val="9"/>
                <c:pt idx="0">
                  <c:v>Razem 7 podstawowych form</c:v>
                </c:pt>
                <c:pt idx="1">
                  <c:v>Razem 6 form (do por.)</c:v>
                </c:pt>
                <c:pt idx="2">
                  <c:v>Staże</c:v>
                </c:pt>
                <c:pt idx="3">
                  <c:v>Dofinansowanie działalności gospodarczej</c:v>
                </c:pt>
                <c:pt idx="4">
                  <c:v>Refundacja kosztów wyposażenia lub doposażenia miejsca pracy</c:v>
                </c:pt>
                <c:pt idx="5">
                  <c:v>Prace interwencyjne</c:v>
                </c:pt>
                <c:pt idx="6">
                  <c:v>Roboty publiczne</c:v>
                </c:pt>
                <c:pt idx="7">
                  <c:v>Bon na zasiedlenie</c:v>
                </c:pt>
                <c:pt idx="8">
                  <c:v>Szkolenia</c:v>
                </c:pt>
              </c:strCache>
            </c:strRef>
          </c:cat>
          <c:val>
            <c:numRef>
              <c:f>S.25!$C$37:$C$45</c:f>
              <c:numCache>
                <c:formatCode>#,##0.00</c:formatCode>
                <c:ptCount val="9"/>
                <c:pt idx="0">
                  <c:v>252089.99021999995</c:v>
                </c:pt>
                <c:pt idx="1">
                  <c:v>242570.32265999995</c:v>
                </c:pt>
                <c:pt idx="2">
                  <c:v>67134.324789999999</c:v>
                </c:pt>
                <c:pt idx="3">
                  <c:v>60856.502309999989</c:v>
                </c:pt>
                <c:pt idx="4">
                  <c:v>44378.20839</c:v>
                </c:pt>
                <c:pt idx="5">
                  <c:v>33670.706749999998</c:v>
                </c:pt>
                <c:pt idx="6">
                  <c:v>29865.365469999997</c:v>
                </c:pt>
                <c:pt idx="7">
                  <c:v>9519.6675599999999</c:v>
                </c:pt>
                <c:pt idx="8">
                  <c:v>6665.2149499999987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9-0F34-4A26-8621-045D84C7F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09337344"/>
        <c:axId val="209359616"/>
        <c:axId val="0"/>
      </c:bar3DChart>
      <c:catAx>
        <c:axId val="2093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bg1">
                <a:lumMod val="85000"/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44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359616"/>
        <c:crosses val="autoZero"/>
        <c:auto val="0"/>
        <c:lblAlgn val="ctr"/>
        <c:lblOffset val="100"/>
        <c:noMultiLvlLbl val="0"/>
      </c:catAx>
      <c:valAx>
        <c:axId val="209359616"/>
        <c:scaling>
          <c:orientation val="minMax"/>
          <c:max val="25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0000FF">
                <a:alpha val="42000"/>
              </a:srgbClr>
            </a:solidFill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337344"/>
        <c:crosses val="autoZero"/>
        <c:crossBetween val="between"/>
        <c:majorUnit val="35000"/>
        <c:minorUnit val="8000"/>
      </c:valAx>
      <c:spPr>
        <a:ln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IV.25!$B$30</c:f>
              <c:strCache>
                <c:ptCount val="1"/>
                <c:pt idx="0">
                  <c:v>Roboty publiczne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1EA-4CC0-8ADF-FC7661B92CE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1EA-4CC0-8ADF-FC7661B92CE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1EA-4CC0-8ADF-FC7661B92CE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1EA-4CC0-8ADF-FC7661B92CE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1EA-4CC0-8ADF-FC7661B92CE6}"/>
              </c:ext>
            </c:extLst>
          </c:dPt>
          <c:dPt>
            <c:idx val="10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7-C1EA-4CC0-8ADF-FC7661B92CE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1EA-4CC0-8ADF-FC7661B92CE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1EA-4CC0-8ADF-FC7661B92CE6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IV.25!$L$4:$L$25</c:f>
              <c:strCache>
                <c:ptCount val="22"/>
                <c:pt idx="0">
                  <c:v>Mielec</c:v>
                </c:pt>
                <c:pt idx="1">
                  <c:v>Dębica</c:v>
                </c:pt>
                <c:pt idx="2">
                  <c:v>Leżajsk</c:v>
                </c:pt>
                <c:pt idx="3">
                  <c:v>Krosno</c:v>
                </c:pt>
                <c:pt idx="4">
                  <c:v>Sanok</c:v>
                </c:pt>
                <c:pt idx="5">
                  <c:v>Rzeszów</c:v>
                </c:pt>
                <c:pt idx="6">
                  <c:v>Łańcut</c:v>
                </c:pt>
                <c:pt idx="7">
                  <c:v>Jasło</c:v>
                </c:pt>
                <c:pt idx="8">
                  <c:v>Brzozów</c:v>
                </c:pt>
                <c:pt idx="9">
                  <c:v>Tarnobrzeg</c:v>
                </c:pt>
                <c:pt idx="10">
                  <c:v>Podkarpacie</c:v>
                </c:pt>
                <c:pt idx="11">
                  <c:v>Lubaczów</c:v>
                </c:pt>
                <c:pt idx="12">
                  <c:v>Nisko</c:v>
                </c:pt>
                <c:pt idx="13">
                  <c:v>Stalowa Wola</c:v>
                </c:pt>
                <c:pt idx="14">
                  <c:v>Przeworsk</c:v>
                </c:pt>
                <c:pt idx="15">
                  <c:v>Jarosław</c:v>
                </c:pt>
                <c:pt idx="16">
                  <c:v>Ropczyce</c:v>
                </c:pt>
                <c:pt idx="17">
                  <c:v>Kolbuszowa</c:v>
                </c:pt>
                <c:pt idx="18">
                  <c:v>Strzyżów</c:v>
                </c:pt>
                <c:pt idx="19">
                  <c:v>Przemyśl</c:v>
                </c:pt>
                <c:pt idx="20">
                  <c:v>Lesko</c:v>
                </c:pt>
                <c:pt idx="21">
                  <c:v>Ustrzyki Dolne</c:v>
                </c:pt>
              </c:strCache>
            </c:strRef>
          </c:cat>
          <c:val>
            <c:numRef>
              <c:f>IV.25!$M$4:$M$25</c:f>
              <c:numCache>
                <c:formatCode>#\ ##0.0</c:formatCode>
                <c:ptCount val="22"/>
                <c:pt idx="0">
                  <c:v>11067.973333333333</c:v>
                </c:pt>
                <c:pt idx="1">
                  <c:v>11656.7925</c:v>
                </c:pt>
                <c:pt idx="2">
                  <c:v>12182.592554744526</c:v>
                </c:pt>
                <c:pt idx="3">
                  <c:v>14616.336666666668</c:v>
                </c:pt>
                <c:pt idx="4">
                  <c:v>16076.913125000001</c:v>
                </c:pt>
                <c:pt idx="5">
                  <c:v>19239.378834951458</c:v>
                </c:pt>
                <c:pt idx="6">
                  <c:v>19806.177179487182</c:v>
                </c:pt>
                <c:pt idx="7">
                  <c:v>21041.448360655741</c:v>
                </c:pt>
                <c:pt idx="8">
                  <c:v>21926.968000000001</c:v>
                </c:pt>
                <c:pt idx="9">
                  <c:v>21996.634620253164</c:v>
                </c:pt>
                <c:pt idx="10">
                  <c:v>22106.118038490007</c:v>
                </c:pt>
                <c:pt idx="11">
                  <c:v>22177.651249999999</c:v>
                </c:pt>
                <c:pt idx="12">
                  <c:v>22862.37</c:v>
                </c:pt>
                <c:pt idx="13">
                  <c:v>23889.046818181818</c:v>
                </c:pt>
                <c:pt idx="14">
                  <c:v>24405.43619047619</c:v>
                </c:pt>
                <c:pt idx="15">
                  <c:v>25593.756434782612</c:v>
                </c:pt>
                <c:pt idx="16">
                  <c:v>25674.542000000001</c:v>
                </c:pt>
                <c:pt idx="17">
                  <c:v>26057.456249999999</c:v>
                </c:pt>
                <c:pt idx="18">
                  <c:v>26515.304434782607</c:v>
                </c:pt>
                <c:pt idx="19">
                  <c:v>28646.019558823529</c:v>
                </c:pt>
                <c:pt idx="20">
                  <c:v>31909.594375000001</c:v>
                </c:pt>
                <c:pt idx="21">
                  <c:v>32760.230833333335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1EA-4CC0-8ADF-FC7661B92C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38175360"/>
        <c:axId val="238186880"/>
      </c:barChart>
      <c:catAx>
        <c:axId val="238175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38186880"/>
        <c:crosses val="autoZero"/>
        <c:auto val="1"/>
        <c:lblAlgn val="ctr"/>
        <c:lblOffset val="100"/>
        <c:noMultiLvlLbl val="0"/>
      </c:catAx>
      <c:valAx>
        <c:axId val="238186880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3817536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V.25!$B$31</c:f>
              <c:strCache>
                <c:ptCount val="1"/>
                <c:pt idx="0">
                  <c:v>Dofinansowanie podejmowania działalności gospodarczej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9F3-4B00-BD29-CE01912626C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9F3-4B00-BD29-CE01912626C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9F3-4B00-BD29-CE01912626C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9F3-4B00-BD29-CE01912626C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9F3-4B00-BD29-CE01912626C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9F3-4B00-BD29-CE01912626CC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9F3-4B00-BD29-CE01912626CC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9F3-4B00-BD29-CE01912626CC}"/>
              </c:ext>
            </c:extLst>
          </c:dPt>
          <c:dPt>
            <c:idx val="14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A-2463-438F-B0BB-8BE71C32EB13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V.25!$L$4:$L$25</c:f>
              <c:strCache>
                <c:ptCount val="22"/>
                <c:pt idx="0">
                  <c:v>Tarnobrzeg</c:v>
                </c:pt>
                <c:pt idx="1">
                  <c:v>Dębica</c:v>
                </c:pt>
                <c:pt idx="2">
                  <c:v>Jarosław</c:v>
                </c:pt>
                <c:pt idx="3">
                  <c:v>Lubaczów</c:v>
                </c:pt>
                <c:pt idx="4">
                  <c:v>Łańcut</c:v>
                </c:pt>
                <c:pt idx="5">
                  <c:v>Przemyśl</c:v>
                </c:pt>
                <c:pt idx="6">
                  <c:v>Ustrzyki Dolne</c:v>
                </c:pt>
                <c:pt idx="7">
                  <c:v>Przeworsk</c:v>
                </c:pt>
                <c:pt idx="8">
                  <c:v>Ropczyce</c:v>
                </c:pt>
                <c:pt idx="9">
                  <c:v>Mielec</c:v>
                </c:pt>
                <c:pt idx="10">
                  <c:v>Stalowa Wola</c:v>
                </c:pt>
                <c:pt idx="11">
                  <c:v>Lesko</c:v>
                </c:pt>
                <c:pt idx="12">
                  <c:v>Leżajsk</c:v>
                </c:pt>
                <c:pt idx="13">
                  <c:v>Brzozów</c:v>
                </c:pt>
                <c:pt idx="14">
                  <c:v>Podkarpacie</c:v>
                </c:pt>
                <c:pt idx="15">
                  <c:v>Strzyżów</c:v>
                </c:pt>
                <c:pt idx="16">
                  <c:v>Jasło</c:v>
                </c:pt>
                <c:pt idx="17">
                  <c:v>Krosno</c:v>
                </c:pt>
                <c:pt idx="18">
                  <c:v>Rzeszów</c:v>
                </c:pt>
                <c:pt idx="19">
                  <c:v>Sanok</c:v>
                </c:pt>
                <c:pt idx="20">
                  <c:v>Kolbuszowa</c:v>
                </c:pt>
                <c:pt idx="21">
                  <c:v>Nisko</c:v>
                </c:pt>
              </c:strCache>
            </c:strRef>
          </c:cat>
          <c:val>
            <c:numRef>
              <c:f>V.25!$M$4:$M$25</c:f>
              <c:numCache>
                <c:formatCode>#\ ##0.0</c:formatCode>
                <c:ptCount val="22"/>
                <c:pt idx="0">
                  <c:v>24311.7</c:v>
                </c:pt>
                <c:pt idx="1">
                  <c:v>24340.21305882353</c:v>
                </c:pt>
                <c:pt idx="2">
                  <c:v>25844.193548387098</c:v>
                </c:pt>
                <c:pt idx="3">
                  <c:v>27639.703703703704</c:v>
                </c:pt>
                <c:pt idx="4">
                  <c:v>30002.293043478257</c:v>
                </c:pt>
                <c:pt idx="5">
                  <c:v>30128.816223776223</c:v>
                </c:pt>
                <c:pt idx="6">
                  <c:v>30990.075000000001</c:v>
                </c:pt>
                <c:pt idx="7">
                  <c:v>31429.579649122807</c:v>
                </c:pt>
                <c:pt idx="8">
                  <c:v>32659.126718750002</c:v>
                </c:pt>
                <c:pt idx="9">
                  <c:v>32977.792535211265</c:v>
                </c:pt>
                <c:pt idx="10">
                  <c:v>33058.030508474578</c:v>
                </c:pt>
                <c:pt idx="11">
                  <c:v>33514.66118644068</c:v>
                </c:pt>
                <c:pt idx="12">
                  <c:v>33798.138983050849</c:v>
                </c:pt>
                <c:pt idx="13">
                  <c:v>33882.403969465646</c:v>
                </c:pt>
                <c:pt idx="14">
                  <c:v>34538.310051078319</c:v>
                </c:pt>
                <c:pt idx="15">
                  <c:v>35097.770833333336</c:v>
                </c:pt>
                <c:pt idx="16">
                  <c:v>36474.390471698112</c:v>
                </c:pt>
                <c:pt idx="17">
                  <c:v>36613.509012345676</c:v>
                </c:pt>
                <c:pt idx="18">
                  <c:v>37121.876798780489</c:v>
                </c:pt>
                <c:pt idx="19">
                  <c:v>38178.404579439251</c:v>
                </c:pt>
                <c:pt idx="20">
                  <c:v>58452.892368421053</c:v>
                </c:pt>
                <c:pt idx="21">
                  <c:v>60783.114035087718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9F3-4B00-BD29-CE01912626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38251392"/>
        <c:axId val="238275200"/>
      </c:barChart>
      <c:catAx>
        <c:axId val="238251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38275200"/>
        <c:crosses val="autoZero"/>
        <c:auto val="1"/>
        <c:lblAlgn val="ctr"/>
        <c:lblOffset val="100"/>
        <c:noMultiLvlLbl val="0"/>
      </c:catAx>
      <c:valAx>
        <c:axId val="238275200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382513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VI.25!$B$32</c:f>
              <c:strCache>
                <c:ptCount val="1"/>
                <c:pt idx="0">
                  <c:v>Refundacja kosztów wyposażenia i doposażenia stanowiska pracy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514-4A3A-AB5D-832D7F8B6A2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514-4A3A-AB5D-832D7F8B6A2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514-4A3A-AB5D-832D7F8B6A2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514-4A3A-AB5D-832D7F8B6A29}"/>
              </c:ext>
            </c:extLst>
          </c:dPt>
          <c:dPt>
            <c:idx val="10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5-6514-4A3A-AB5D-832D7F8B6A29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514-4A3A-AB5D-832D7F8B6A29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514-4A3A-AB5D-832D7F8B6A2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6514-4A3A-AB5D-832D7F8B6A29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VI.25!$L$4:$L$25</c:f>
              <c:strCache>
                <c:ptCount val="22"/>
                <c:pt idx="0">
                  <c:v>Lubaczów</c:v>
                </c:pt>
                <c:pt idx="1">
                  <c:v>Ustrzyki Dolne</c:v>
                </c:pt>
                <c:pt idx="2">
                  <c:v>Leżajsk</c:v>
                </c:pt>
                <c:pt idx="3">
                  <c:v>Ropczyce</c:v>
                </c:pt>
                <c:pt idx="4">
                  <c:v>Sanok</c:v>
                </c:pt>
                <c:pt idx="5">
                  <c:v>Jarosław</c:v>
                </c:pt>
                <c:pt idx="6">
                  <c:v>Stalowa Wola</c:v>
                </c:pt>
                <c:pt idx="7">
                  <c:v>Kolbuszowa</c:v>
                </c:pt>
                <c:pt idx="8">
                  <c:v>Nisko</c:v>
                </c:pt>
                <c:pt idx="9">
                  <c:v>Tarnobrzeg</c:v>
                </c:pt>
                <c:pt idx="10">
                  <c:v>Podkarpacie</c:v>
                </c:pt>
                <c:pt idx="11">
                  <c:v>Strzyżów</c:v>
                </c:pt>
                <c:pt idx="12">
                  <c:v>Mielec</c:v>
                </c:pt>
                <c:pt idx="13">
                  <c:v>Krosno</c:v>
                </c:pt>
                <c:pt idx="14">
                  <c:v>Dębica</c:v>
                </c:pt>
                <c:pt idx="15">
                  <c:v>Lesko</c:v>
                </c:pt>
                <c:pt idx="16">
                  <c:v>Łańcut</c:v>
                </c:pt>
                <c:pt idx="17">
                  <c:v>Rzeszów</c:v>
                </c:pt>
                <c:pt idx="18">
                  <c:v>Jasło</c:v>
                </c:pt>
                <c:pt idx="19">
                  <c:v>Przemyśl</c:v>
                </c:pt>
                <c:pt idx="20">
                  <c:v>Brzozów</c:v>
                </c:pt>
                <c:pt idx="21">
                  <c:v>Przeworsk</c:v>
                </c:pt>
              </c:strCache>
            </c:strRef>
          </c:cat>
          <c:val>
            <c:numRef>
              <c:f>VI.25!$M$4:$M$25</c:f>
              <c:numCache>
                <c:formatCode>#\ ##0.0</c:formatCode>
                <c:ptCount val="22"/>
                <c:pt idx="0">
                  <c:v>0</c:v>
                </c:pt>
                <c:pt idx="1">
                  <c:v>8284.1247368421045</c:v>
                </c:pt>
                <c:pt idx="2">
                  <c:v>15035.338666666667</c:v>
                </c:pt>
                <c:pt idx="3">
                  <c:v>16189.324675324675</c:v>
                </c:pt>
                <c:pt idx="4">
                  <c:v>16894.621830985914</c:v>
                </c:pt>
                <c:pt idx="5">
                  <c:v>18706.133739837402</c:v>
                </c:pt>
                <c:pt idx="6">
                  <c:v>18819.021555555555</c:v>
                </c:pt>
                <c:pt idx="7">
                  <c:v>19882.358285714286</c:v>
                </c:pt>
                <c:pt idx="8">
                  <c:v>20980.357142857141</c:v>
                </c:pt>
                <c:pt idx="9">
                  <c:v>27924.593214285713</c:v>
                </c:pt>
                <c:pt idx="10">
                  <c:v>30333.703615857823</c:v>
                </c:pt>
                <c:pt idx="11">
                  <c:v>31518.684507042253</c:v>
                </c:pt>
                <c:pt idx="12">
                  <c:v>32376.172500000004</c:v>
                </c:pt>
                <c:pt idx="13">
                  <c:v>33816.54367088608</c:v>
                </c:pt>
                <c:pt idx="14">
                  <c:v>34076.923076923078</c:v>
                </c:pt>
                <c:pt idx="15">
                  <c:v>34685.678709677421</c:v>
                </c:pt>
                <c:pt idx="16">
                  <c:v>35444.152033898303</c:v>
                </c:pt>
                <c:pt idx="17">
                  <c:v>38719.998815165876</c:v>
                </c:pt>
                <c:pt idx="18">
                  <c:v>39148.718687500004</c:v>
                </c:pt>
                <c:pt idx="19">
                  <c:v>44715.425000000003</c:v>
                </c:pt>
                <c:pt idx="20">
                  <c:v>49516.699574468083</c:v>
                </c:pt>
                <c:pt idx="21">
                  <c:v>52122.054857142852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14-4A3A-AB5D-832D7F8B6A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95384960"/>
        <c:axId val="295421056"/>
      </c:barChart>
      <c:catAx>
        <c:axId val="295384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95421056"/>
        <c:crosses val="autoZero"/>
        <c:auto val="1"/>
        <c:lblAlgn val="ctr"/>
        <c:lblOffset val="100"/>
        <c:noMultiLvlLbl val="0"/>
      </c:catAx>
      <c:valAx>
        <c:axId val="295421056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9538496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VII.25!$B$33</c:f>
              <c:strCache>
                <c:ptCount val="1"/>
                <c:pt idx="0">
                  <c:v>Bon na zasiedlenie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8E7-4B0E-9EF5-5A4DB118EC4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8E7-4B0E-9EF5-5A4DB118EC4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8E7-4B0E-9EF5-5A4DB118EC4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8E7-4B0E-9EF5-5A4DB118EC4B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8E7-4B0E-9EF5-5A4DB118EC4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8E7-4B0E-9EF5-5A4DB118EC4B}"/>
              </c:ext>
            </c:extLst>
          </c:dPt>
          <c:dPt>
            <c:idx val="14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A-D759-44C3-8521-326B3CEDF1E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VII.25!$L$4:$L$25</c:f>
              <c:strCache>
                <c:ptCount val="22"/>
                <c:pt idx="0">
                  <c:v>Kolbuszowa</c:v>
                </c:pt>
                <c:pt idx="1">
                  <c:v>Stalowa Wola</c:v>
                </c:pt>
                <c:pt idx="2">
                  <c:v>Nisko</c:v>
                </c:pt>
                <c:pt idx="3">
                  <c:v>Ropczyce</c:v>
                </c:pt>
                <c:pt idx="4">
                  <c:v>Dębica</c:v>
                </c:pt>
                <c:pt idx="5">
                  <c:v>Tarnobrzeg</c:v>
                </c:pt>
                <c:pt idx="6">
                  <c:v>Krosno</c:v>
                </c:pt>
                <c:pt idx="7">
                  <c:v>Rzeszów</c:v>
                </c:pt>
                <c:pt idx="8">
                  <c:v>Lubaczów</c:v>
                </c:pt>
                <c:pt idx="9">
                  <c:v>Leżajsk</c:v>
                </c:pt>
                <c:pt idx="10">
                  <c:v>Przemyśl</c:v>
                </c:pt>
                <c:pt idx="11">
                  <c:v>Przeworsk</c:v>
                </c:pt>
                <c:pt idx="12">
                  <c:v>Łańcut</c:v>
                </c:pt>
                <c:pt idx="13">
                  <c:v>Ustrzyki Dolne</c:v>
                </c:pt>
                <c:pt idx="14">
                  <c:v>Podkarpacie</c:v>
                </c:pt>
                <c:pt idx="15">
                  <c:v>Mielec</c:v>
                </c:pt>
                <c:pt idx="16">
                  <c:v>Sanok</c:v>
                </c:pt>
                <c:pt idx="17">
                  <c:v>Strzyżów</c:v>
                </c:pt>
                <c:pt idx="18">
                  <c:v>Jasło</c:v>
                </c:pt>
                <c:pt idx="19">
                  <c:v>Brzozów</c:v>
                </c:pt>
                <c:pt idx="20">
                  <c:v>Lesko</c:v>
                </c:pt>
                <c:pt idx="21">
                  <c:v>Jarosław</c:v>
                </c:pt>
              </c:strCache>
            </c:strRef>
          </c:cat>
          <c:val>
            <c:numRef>
              <c:f>VII.25!$M$4:$M$25</c:f>
              <c:numCache>
                <c:formatCode>#\ ##0.0</c:formatCode>
                <c:ptCount val="22"/>
                <c:pt idx="0">
                  <c:v>0</c:v>
                </c:pt>
                <c:pt idx="1">
                  <c:v>5166.666666666667</c:v>
                </c:pt>
                <c:pt idx="2">
                  <c:v>5454.545454545455</c:v>
                </c:pt>
                <c:pt idx="3">
                  <c:v>6666.666666666667</c:v>
                </c:pt>
                <c:pt idx="4">
                  <c:v>8275.8620689655181</c:v>
                </c:pt>
                <c:pt idx="5">
                  <c:v>9894.7368421052633</c:v>
                </c:pt>
                <c:pt idx="6">
                  <c:v>9939.3939393939399</c:v>
                </c:pt>
                <c:pt idx="7">
                  <c:v>10086.384929577463</c:v>
                </c:pt>
                <c:pt idx="8">
                  <c:v>10320.76923076923</c:v>
                </c:pt>
                <c:pt idx="9">
                  <c:v>10476.190476190477</c:v>
                </c:pt>
                <c:pt idx="10">
                  <c:v>11547.169811320755</c:v>
                </c:pt>
                <c:pt idx="11">
                  <c:v>11666.666666666666</c:v>
                </c:pt>
                <c:pt idx="12">
                  <c:v>11956.521739130434</c:v>
                </c:pt>
                <c:pt idx="13">
                  <c:v>12025</c:v>
                </c:pt>
                <c:pt idx="14">
                  <c:v>12881.823491204332</c:v>
                </c:pt>
                <c:pt idx="15">
                  <c:v>14000</c:v>
                </c:pt>
                <c:pt idx="16">
                  <c:v>14582.35294117647</c:v>
                </c:pt>
                <c:pt idx="17">
                  <c:v>15750</c:v>
                </c:pt>
                <c:pt idx="18">
                  <c:v>16238.344054054054</c:v>
                </c:pt>
                <c:pt idx="19">
                  <c:v>17660.377358490565</c:v>
                </c:pt>
                <c:pt idx="20">
                  <c:v>19352.941176470587</c:v>
                </c:pt>
                <c:pt idx="21">
                  <c:v>40426.620000000003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8E7-4B0E-9EF5-5A4DB118EC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38342144"/>
        <c:axId val="238345216"/>
      </c:barChart>
      <c:catAx>
        <c:axId val="238342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38345216"/>
        <c:crosses val="autoZero"/>
        <c:auto val="1"/>
        <c:lblAlgn val="ctr"/>
        <c:lblOffset val="100"/>
        <c:noMultiLvlLbl val="0"/>
      </c:catAx>
      <c:valAx>
        <c:axId val="238345216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3834214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noFill/>
        <a:ln w="2540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1580019374549787E-2"/>
          <c:y val="1.7826459811335463E-2"/>
          <c:w val="0.96780386587823997"/>
          <c:h val="0.9476505581584263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W.25!$B$2</c:f>
              <c:strCache>
                <c:ptCount val="1"/>
                <c:pt idx="0">
                  <c:v>6 podstawowych form - rozpoczęcie</c:v>
                </c:pt>
              </c:strCache>
            </c:strRef>
          </c:tx>
          <c:spPr>
            <a:solidFill>
              <a:srgbClr val="66FF33"/>
            </a:solidFill>
            <a:ln w="3175"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-6.1115340527940296E-3"/>
                  <c:y val="7.5675697148527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A1-4F34-B387-E2145AB4EB67}"/>
                </c:ext>
              </c:extLst>
            </c:dLbl>
            <c:dLbl>
              <c:idx val="1"/>
              <c:layout>
                <c:manualLayout>
                  <c:x val="-2.0371780175980473E-3"/>
                  <c:y val="0.126126161914212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A1-4F34-B387-E2145AB4EB67}"/>
                </c:ext>
              </c:extLst>
            </c:dLbl>
            <c:dLbl>
              <c:idx val="2"/>
              <c:layout>
                <c:manualLayout>
                  <c:x val="-2.03717801759801E-3"/>
                  <c:y val="0.12972976654033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A1-4F34-B387-E2145AB4EB67}"/>
                </c:ext>
              </c:extLst>
            </c:dLbl>
            <c:dLbl>
              <c:idx val="3"/>
              <c:layout>
                <c:manualLayout>
                  <c:x val="0"/>
                  <c:y val="0.133333371166452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A1-4F34-B387-E2145AB4EB67}"/>
                </c:ext>
              </c:extLst>
            </c:dLbl>
            <c:dLbl>
              <c:idx val="4"/>
              <c:layout>
                <c:manualLayout>
                  <c:x val="-7.4695664421237605E-17"/>
                  <c:y val="0.151351394297054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A1-4F34-B387-E2145AB4EB67}"/>
                </c:ext>
              </c:extLst>
            </c:dLbl>
            <c:dLbl>
              <c:idx val="5"/>
              <c:layout>
                <c:manualLayout>
                  <c:x val="2.03717801759801E-3"/>
                  <c:y val="0.118918952661971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A1-4F34-B387-E2145AB4EB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W.25!$B$3:$B$8</c:f>
              <c:strCache>
                <c:ptCount val="6"/>
                <c:pt idx="0">
                  <c:v>staże</c:v>
                </c:pt>
                <c:pt idx="1">
                  <c:v>szkolenia</c:v>
                </c:pt>
                <c:pt idx="2">
                  <c:v>prace interw.</c:v>
                </c:pt>
                <c:pt idx="3">
                  <c:v>roboty publ.</c:v>
                </c:pt>
                <c:pt idx="4">
                  <c:v>dof. działaln.</c:v>
                </c:pt>
                <c:pt idx="5">
                  <c:v>refund. koszt.</c:v>
                </c:pt>
              </c:strCache>
            </c:strRef>
          </c:cat>
          <c:val>
            <c:numRef>
              <c:f>W.25!$C$3:$C$8</c:f>
              <c:numCache>
                <c:formatCode>#,##0</c:formatCode>
                <c:ptCount val="6"/>
                <c:pt idx="0">
                  <c:v>5942</c:v>
                </c:pt>
                <c:pt idx="1">
                  <c:v>1485</c:v>
                </c:pt>
                <c:pt idx="2">
                  <c:v>4125</c:v>
                </c:pt>
                <c:pt idx="3">
                  <c:v>1726</c:v>
                </c:pt>
                <c:pt idx="4">
                  <c:v>1700</c:v>
                </c:pt>
                <c:pt idx="5">
                  <c:v>1118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19-62A1-4F34-B387-E2145AB4EB67}"/>
            </c:ext>
          </c:extLst>
        </c:ser>
        <c:ser>
          <c:idx val="1"/>
          <c:order val="1"/>
          <c:tx>
            <c:strRef>
              <c:f>W.25!$B$10</c:f>
              <c:strCache>
                <c:ptCount val="1"/>
                <c:pt idx="0">
                  <c:v>6 podstawowych form - zakończenie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743560351959827E-3"/>
                  <c:y val="0.14774778967093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2A1-4F34-B387-E2145AB4EB67}"/>
                </c:ext>
              </c:extLst>
            </c:dLbl>
            <c:dLbl>
              <c:idx val="1"/>
              <c:layout>
                <c:manualLayout>
                  <c:x val="6.1115340527940296E-3"/>
                  <c:y val="0.1261261619142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2A1-4F34-B387-E2145AB4EB67}"/>
                </c:ext>
              </c:extLst>
            </c:dLbl>
            <c:dLbl>
              <c:idx val="2"/>
              <c:layout>
                <c:manualLayout>
                  <c:x val="2.03717801759801E-3"/>
                  <c:y val="0.133333371166452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2A1-4F34-B387-E2145AB4EB67}"/>
                </c:ext>
              </c:extLst>
            </c:dLbl>
            <c:dLbl>
              <c:idx val="3"/>
              <c:layout>
                <c:manualLayout>
                  <c:x val="4.0743560351959454E-3"/>
                  <c:y val="0.129729766540332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2A1-4F34-B387-E2145AB4EB67}"/>
                </c:ext>
              </c:extLst>
            </c:dLbl>
            <c:dLbl>
              <c:idx val="4"/>
              <c:layout>
                <c:manualLayout>
                  <c:x val="2.0371780175978604E-3"/>
                  <c:y val="0.136936975792573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2A1-4F34-B387-E2145AB4EB67}"/>
                </c:ext>
              </c:extLst>
            </c:dLbl>
            <c:dLbl>
              <c:idx val="5"/>
              <c:layout>
                <c:manualLayout>
                  <c:x val="2.0371780175978604E-3"/>
                  <c:y val="0.14414418504481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2A1-4F34-B387-E2145AB4EB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W.25!$B$3:$B$8</c:f>
              <c:strCache>
                <c:ptCount val="6"/>
                <c:pt idx="0">
                  <c:v>staże</c:v>
                </c:pt>
                <c:pt idx="1">
                  <c:v>szkolenia</c:v>
                </c:pt>
                <c:pt idx="2">
                  <c:v>prace interw.</c:v>
                </c:pt>
                <c:pt idx="3">
                  <c:v>roboty publ.</c:v>
                </c:pt>
                <c:pt idx="4">
                  <c:v>dof. działaln.</c:v>
                </c:pt>
                <c:pt idx="5">
                  <c:v>refund. koszt.</c:v>
                </c:pt>
              </c:strCache>
            </c:strRef>
          </c:cat>
          <c:val>
            <c:numRef>
              <c:f>W.25!$C$11:$C$16</c:f>
              <c:numCache>
                <c:formatCode>#,##0</c:formatCode>
                <c:ptCount val="6"/>
                <c:pt idx="0">
                  <c:v>4427</c:v>
                </c:pt>
                <c:pt idx="1">
                  <c:v>1288</c:v>
                </c:pt>
                <c:pt idx="2">
                  <c:v>2924</c:v>
                </c:pt>
                <c:pt idx="3">
                  <c:v>1399</c:v>
                </c:pt>
                <c:pt idx="4">
                  <c:v>1810</c:v>
                </c:pt>
                <c:pt idx="5">
                  <c:v>1628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62A1-4F34-B387-E2145AB4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54108800"/>
        <c:axId val="254110336"/>
        <c:axId val="0"/>
      </c:bar3DChart>
      <c:catAx>
        <c:axId val="25410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3175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pl-PL"/>
          </a:p>
        </c:txPr>
        <c:crossAx val="254110336"/>
        <c:crosses val="autoZero"/>
        <c:auto val="0"/>
        <c:lblAlgn val="ctr"/>
        <c:lblOffset val="100"/>
        <c:noMultiLvlLbl val="0"/>
      </c:catAx>
      <c:valAx>
        <c:axId val="25411033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 w="3175">
              <a:solidFill>
                <a:schemeClr val="accent1">
                  <a:lumMod val="40000"/>
                  <a:lumOff val="60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 w="3175">
            <a:solidFill>
              <a:srgbClr val="0000FF">
                <a:alpha val="42000"/>
              </a:srgbClr>
            </a:solidFill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pl-PL"/>
          </a:p>
        </c:txPr>
        <c:crossAx val="25410880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5998854047263171"/>
          <c:y val="9.0045850903270455E-2"/>
          <c:w val="0.45344844079848412"/>
          <c:h val="0.13390691057223056"/>
        </c:manualLayout>
      </c:layout>
      <c:overlay val="0"/>
      <c:txPr>
        <a:bodyPr/>
        <a:lstStyle/>
        <a:p>
          <a:pPr>
            <a:defRPr sz="1100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noFill/>
        <a:ln w="2540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1580019374549787E-2"/>
          <c:y val="1.7826459811335463E-2"/>
          <c:w val="0.96780386587823997"/>
          <c:h val="0.9476505581584263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W.25!$B$2</c:f>
              <c:strCache>
                <c:ptCount val="1"/>
                <c:pt idx="0">
                  <c:v>6 podstawowych form - rozpoczęcie</c:v>
                </c:pt>
              </c:strCache>
            </c:strRef>
          </c:tx>
          <c:spPr>
            <a:solidFill>
              <a:schemeClr val="tx2">
                <a:lumMod val="40000"/>
                <a:lumOff val="60000"/>
                <a:alpha val="56000"/>
              </a:schemeClr>
            </a:solidFill>
            <a:ln w="3175"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7.7028233781295218E-3"/>
                  <c:y val="0.102223929325907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D8-4AFC-8860-786D8B04568D}"/>
                </c:ext>
              </c:extLst>
            </c:dLbl>
            <c:dLbl>
              <c:idx val="1"/>
              <c:layout>
                <c:manualLayout>
                  <c:x val="8.8806118374482792E-3"/>
                  <c:y val="9.320914154023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D8-4AFC-8860-786D8B04568D}"/>
                </c:ext>
              </c:extLst>
            </c:dLbl>
            <c:dLbl>
              <c:idx val="2"/>
              <c:layout>
                <c:manualLayout>
                  <c:x val="3.0197828691091435E-3"/>
                  <c:y val="0.107302669483387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D8-4AFC-8860-786D8B04568D}"/>
                </c:ext>
              </c:extLst>
            </c:dLbl>
            <c:dLbl>
              <c:idx val="3"/>
              <c:layout>
                <c:manualLayout>
                  <c:x val="2.4764870864969397E-3"/>
                  <c:y val="9.3430478202419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D8-4AFC-8860-786D8B04568D}"/>
                </c:ext>
              </c:extLst>
            </c:dLbl>
            <c:dLbl>
              <c:idx val="4"/>
              <c:layout>
                <c:manualLayout>
                  <c:x val="6.8886796769664299E-3"/>
                  <c:y val="9.6440848857307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D8-4AFC-8860-786D8B04568D}"/>
                </c:ext>
              </c:extLst>
            </c:dLbl>
            <c:dLbl>
              <c:idx val="5"/>
              <c:layout>
                <c:manualLayout>
                  <c:x val="7.7377936157145737E-3"/>
                  <c:y val="9.174812752064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D8-4AFC-8860-786D8B04568D}"/>
                </c:ext>
              </c:extLst>
            </c:dLbl>
            <c:dLbl>
              <c:idx val="6"/>
              <c:layout>
                <c:manualLayout>
                  <c:x val="1.6388308531827645E-2"/>
                  <c:y val="5.87539238849145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D8-4AFC-8860-786D8B04568D}"/>
                </c:ext>
              </c:extLst>
            </c:dLbl>
            <c:dLbl>
              <c:idx val="7"/>
              <c:layout>
                <c:manualLayout>
                  <c:x val="7.1305351680114966E-3"/>
                  <c:y val="-1.31809933253892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D8-4AFC-8860-786D8B04568D}"/>
                </c:ext>
              </c:extLst>
            </c:dLbl>
            <c:dLbl>
              <c:idx val="8"/>
              <c:layout>
                <c:manualLayout>
                  <c:x val="1.9712969179728874E-3"/>
                  <c:y val="-7.38584234834147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D8-4AFC-8860-786D8B04568D}"/>
                </c:ext>
              </c:extLst>
            </c:dLbl>
            <c:dLbl>
              <c:idx val="9"/>
              <c:layout>
                <c:manualLayout>
                  <c:x val="-6.0810314971582787E-4"/>
                  <c:y val="2.0741917646050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D8-4AFC-8860-786D8B04568D}"/>
                </c:ext>
              </c:extLst>
            </c:dLbl>
            <c:dLbl>
              <c:idx val="10"/>
              <c:layout>
                <c:manualLayout>
                  <c:x val="9.8334835701525633E-4"/>
                  <c:y val="8.555028544280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D8-4AFC-8860-786D8B04568D}"/>
                </c:ext>
              </c:extLst>
            </c:dLbl>
            <c:dLbl>
              <c:idx val="11"/>
              <c:layout>
                <c:manualLayout>
                  <c:x val="1.2182654383391949E-2"/>
                  <c:y val="-6.60513874934772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D8-4AFC-8860-786D8B04568D}"/>
                </c:ext>
              </c:extLst>
            </c:dLbl>
            <c:dLbl>
              <c:idx val="12"/>
              <c:layout>
                <c:manualLayout>
                  <c:x val="1.4619667186197637E-2"/>
                  <c:y val="7.12508859241259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D8-4AFC-8860-786D8B04568D}"/>
                </c:ext>
              </c:extLst>
            </c:dLbl>
            <c:dLbl>
              <c:idx val="13"/>
              <c:layout>
                <c:manualLayout>
                  <c:x val="3.2634031436079916E-3"/>
                  <c:y val="-0.3267917516334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D8-4AFC-8860-786D8B04568D}"/>
                </c:ext>
              </c:extLst>
            </c:dLbl>
            <c:dLbl>
              <c:idx val="14"/>
              <c:layout>
                <c:manualLayout>
                  <c:x val="0"/>
                  <c:y val="-0.337674123512444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D8-4AFC-8860-786D8B04568D}"/>
                </c:ext>
              </c:extLst>
            </c:dLbl>
            <c:dLbl>
              <c:idx val="15"/>
              <c:layout>
                <c:manualLayout>
                  <c:x val="-3.035229212384315E-3"/>
                  <c:y val="-0.378885805090903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D8-4AFC-8860-786D8B04568D}"/>
                </c:ext>
              </c:extLst>
            </c:dLbl>
            <c:dLbl>
              <c:idx val="16"/>
              <c:layout>
                <c:manualLayout>
                  <c:x val="0"/>
                  <c:y val="-0.37258384202484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D8-4AFC-8860-786D8B04568D}"/>
                </c:ext>
              </c:extLst>
            </c:dLbl>
            <c:dLbl>
              <c:idx val="17"/>
              <c:layout>
                <c:manualLayout>
                  <c:x val="-3.035229212384315E-3"/>
                  <c:y val="-0.387828030845188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D8-4AFC-8860-786D8B04568D}"/>
                </c:ext>
              </c:extLst>
            </c:dLbl>
            <c:dLbl>
              <c:idx val="18"/>
              <c:layout>
                <c:manualLayout>
                  <c:x val="0"/>
                  <c:y val="-0.398690816251367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D8-4AFC-8860-786D8B04568D}"/>
                </c:ext>
              </c:extLst>
            </c:dLbl>
            <c:dLbl>
              <c:idx val="19"/>
              <c:layout>
                <c:manualLayout>
                  <c:x val="0"/>
                  <c:y val="-0.411834012827609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D8-4AFC-8860-786D8B04568D}"/>
                </c:ext>
              </c:extLst>
            </c:dLbl>
            <c:dLbl>
              <c:idx val="20"/>
              <c:layout>
                <c:manualLayout>
                  <c:x val="0"/>
                  <c:y val="-0.429448491225367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D8-4AFC-8860-786D8B04568D}"/>
                </c:ext>
              </c:extLst>
            </c:dLbl>
            <c:dLbl>
              <c:idx val="21"/>
              <c:layout>
                <c:manualLayout>
                  <c:x val="0"/>
                  <c:y val="-0.44670311810495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D8-4AFC-8860-786D8B04568D}"/>
                </c:ext>
              </c:extLst>
            </c:dLbl>
            <c:dLbl>
              <c:idx val="22"/>
              <c:layout>
                <c:manualLayout>
                  <c:x val="0"/>
                  <c:y val="-0.448983529275019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D8-4AFC-8860-786D8B04568D}"/>
                </c:ext>
              </c:extLst>
            </c:dLbl>
            <c:dLbl>
              <c:idx val="23"/>
              <c:layout>
                <c:manualLayout>
                  <c:x val="-3.035229212384315E-3"/>
                  <c:y val="-0.460116287792012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D8-4AFC-8860-786D8B04568D}"/>
                </c:ext>
              </c:extLst>
            </c:dLbl>
            <c:dLbl>
              <c:idx val="24"/>
              <c:layout>
                <c:manualLayout>
                  <c:x val="0"/>
                  <c:y val="-0.477281036264248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D8-4AFC-8860-786D8B0456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W.25!$B$7:$B$8</c:f>
              <c:strCache>
                <c:ptCount val="2"/>
                <c:pt idx="0">
                  <c:v>dof. działaln.</c:v>
                </c:pt>
                <c:pt idx="1">
                  <c:v>refund. koszt.</c:v>
                </c:pt>
              </c:strCache>
            </c:strRef>
          </c:cat>
          <c:val>
            <c:numRef>
              <c:f>W.25!$C$7:$C$8</c:f>
              <c:numCache>
                <c:formatCode>#,##0</c:formatCode>
                <c:ptCount val="2"/>
                <c:pt idx="0">
                  <c:v>1700</c:v>
                </c:pt>
                <c:pt idx="1">
                  <c:v>1118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19-02D8-4AFC-8860-786D8B04568D}"/>
            </c:ext>
          </c:extLst>
        </c:ser>
        <c:ser>
          <c:idx val="1"/>
          <c:order val="1"/>
          <c:tx>
            <c:strRef>
              <c:f>W.25!$B$10</c:f>
              <c:strCache>
                <c:ptCount val="1"/>
                <c:pt idx="0">
                  <c:v>6 podstawowych form - zakończenie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  <a:alpha val="48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9390107038473915E-2"/>
                  <c:y val="0.115853596640721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D8-4AFC-8860-786D8B04568D}"/>
                </c:ext>
              </c:extLst>
            </c:dLbl>
            <c:dLbl>
              <c:idx val="1"/>
              <c:layout>
                <c:manualLayout>
                  <c:x val="2.1921344242697555E-2"/>
                  <c:y val="0.113207965691388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2D8-4AFC-8860-786D8B04568D}"/>
                </c:ext>
              </c:extLst>
            </c:dLbl>
            <c:dLbl>
              <c:idx val="2"/>
              <c:layout>
                <c:manualLayout>
                  <c:x val="8.7080462859664889E-3"/>
                  <c:y val="0.134146341463414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2D8-4AFC-8860-786D8B04568D}"/>
                </c:ext>
              </c:extLst>
            </c:dLbl>
            <c:dLbl>
              <c:idx val="3"/>
              <c:layout>
                <c:manualLayout>
                  <c:x val="8.7082748496108368E-3"/>
                  <c:y val="0.146341463414634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2D8-4AFC-8860-786D8B04568D}"/>
                </c:ext>
              </c:extLst>
            </c:dLbl>
            <c:dLbl>
              <c:idx val="4"/>
              <c:layout>
                <c:manualLayout>
                  <c:x val="1.1611033132814448E-2"/>
                  <c:y val="0.134146341463414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2D8-4AFC-8860-786D8B04568D}"/>
                </c:ext>
              </c:extLst>
            </c:dLbl>
            <c:dLbl>
              <c:idx val="5"/>
              <c:layout>
                <c:manualLayout>
                  <c:x val="1.1610804569170101E-2"/>
                  <c:y val="0.109756097560975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2D8-4AFC-8860-786D8B0456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W.25!$B$7:$B$8</c:f>
              <c:strCache>
                <c:ptCount val="2"/>
                <c:pt idx="0">
                  <c:v>dof. działaln.</c:v>
                </c:pt>
                <c:pt idx="1">
                  <c:v>refund. koszt.</c:v>
                </c:pt>
              </c:strCache>
            </c:strRef>
          </c:cat>
          <c:val>
            <c:numRef>
              <c:f>W.25!$C$15:$C$16</c:f>
              <c:numCache>
                <c:formatCode>#,##0</c:formatCode>
                <c:ptCount val="2"/>
                <c:pt idx="0">
                  <c:v>1810</c:v>
                </c:pt>
                <c:pt idx="1">
                  <c:v>1628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02D8-4AFC-8860-786D8B045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96017920"/>
        <c:axId val="296019456"/>
        <c:axId val="0"/>
      </c:bar3DChart>
      <c:catAx>
        <c:axId val="29601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3175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pl-PL"/>
          </a:p>
        </c:txPr>
        <c:crossAx val="296019456"/>
        <c:crosses val="autoZero"/>
        <c:auto val="0"/>
        <c:lblAlgn val="ctr"/>
        <c:lblOffset val="100"/>
        <c:noMultiLvlLbl val="0"/>
      </c:catAx>
      <c:valAx>
        <c:axId val="29601945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 w="3175">
              <a:solidFill>
                <a:schemeClr val="accent1">
                  <a:lumMod val="20000"/>
                  <a:lumOff val="80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 w="3175">
            <a:solidFill>
              <a:srgbClr val="0000FF">
                <a:alpha val="47000"/>
              </a:srgbClr>
            </a:solidFill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pl-PL"/>
          </a:p>
        </c:txPr>
        <c:crossAx val="296017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5701791887861415"/>
          <c:y val="3.7095103856557433E-2"/>
          <c:w val="0.45106499110945925"/>
          <c:h val="0.12424115088126188"/>
        </c:manualLayout>
      </c:layout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400" b="0">
                <a:latin typeface="Arial" panose="020B0604020202020204" pitchFamily="34" charset="0"/>
                <a:cs typeface="Arial" panose="020B0604020202020204" pitchFamily="34" charset="0"/>
              </a:rPr>
              <a:t>Przeciętne zatrudnienie w danym roku [tys. etatów]</a:t>
            </a:r>
          </a:p>
          <a:p>
            <a:pPr>
              <a:defRPr sz="14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 sz="14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8.0893288592681217E-2"/>
          <c:y val="1.31304705849725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88242453865517367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'przec.zat.'!$B$17</c:f>
              <c:strCache>
                <c:ptCount val="1"/>
                <c:pt idx="0">
                  <c:v>Własność zagraniczna</c:v>
                </c:pt>
              </c:strCache>
            </c:strRef>
          </c:tx>
          <c:spPr>
            <a:ln w="571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'przec.zat.'!$C$2:$Q$2</c:f>
              <c:numCache>
                <c:formatCode>General</c:formatCode>
                <c:ptCount val="15"/>
                <c:pt idx="0">
                  <c:v>1995</c:v>
                </c:pt>
                <c:pt idx="1">
                  <c:v>1998</c:v>
                </c:pt>
                <c:pt idx="2">
                  <c:v>2000</c:v>
                </c:pt>
                <c:pt idx="3">
                  <c:v>2003</c:v>
                </c:pt>
                <c:pt idx="4">
                  <c:v>2005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'przec.zat.'!$C$17:$Q$17</c:f>
              <c:numCache>
                <c:formatCode>#\ ##0.0</c:formatCode>
                <c:ptCount val="15"/>
                <c:pt idx="0">
                  <c:v>149.1</c:v>
                </c:pt>
                <c:pt idx="1">
                  <c:v>259.7</c:v>
                </c:pt>
                <c:pt idx="2">
                  <c:v>305.7</c:v>
                </c:pt>
                <c:pt idx="3">
                  <c:v>384</c:v>
                </c:pt>
                <c:pt idx="4">
                  <c:v>477.2</c:v>
                </c:pt>
                <c:pt idx="5">
                  <c:v>734.5</c:v>
                </c:pt>
                <c:pt idx="6">
                  <c:v>777.2</c:v>
                </c:pt>
                <c:pt idx="7">
                  <c:v>805.8</c:v>
                </c:pt>
                <c:pt idx="8">
                  <c:v>831.1</c:v>
                </c:pt>
                <c:pt idx="9">
                  <c:v>858.1</c:v>
                </c:pt>
                <c:pt idx="10">
                  <c:v>852</c:v>
                </c:pt>
                <c:pt idx="11">
                  <c:v>875.7</c:v>
                </c:pt>
                <c:pt idx="12">
                  <c:v>895.7</c:v>
                </c:pt>
                <c:pt idx="13">
                  <c:v>901.4</c:v>
                </c:pt>
                <c:pt idx="14">
                  <c:v>888.6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46E-42D1-AFE9-64EDAF458554}"/>
            </c:ext>
          </c:extLst>
        </c:ser>
        <c:ser>
          <c:idx val="1"/>
          <c:order val="1"/>
          <c:tx>
            <c:strRef>
              <c:f>'przec.zat.'!$B$15</c:f>
              <c:strCache>
                <c:ptCount val="1"/>
                <c:pt idx="0">
                  <c:v>własność prywatna krajowa</c:v>
                </c:pt>
              </c:strCache>
            </c:strRef>
          </c:tx>
          <c:spPr>
            <a:ln w="79375">
              <a:solidFill>
                <a:schemeClr val="tx2">
                  <a:lumMod val="40000"/>
                  <a:lumOff val="60000"/>
                  <a:alpha val="58000"/>
                </a:schemeClr>
              </a:solidFill>
            </a:ln>
          </c:spPr>
          <c:marker>
            <c:symbol val="none"/>
          </c:marker>
          <c:cat>
            <c:numRef>
              <c:f>'przec.zat.'!$C$2:$Q$2</c:f>
              <c:numCache>
                <c:formatCode>General</c:formatCode>
                <c:ptCount val="15"/>
                <c:pt idx="0">
                  <c:v>1995</c:v>
                </c:pt>
                <c:pt idx="1">
                  <c:v>1998</c:v>
                </c:pt>
                <c:pt idx="2">
                  <c:v>2000</c:v>
                </c:pt>
                <c:pt idx="3">
                  <c:v>2003</c:v>
                </c:pt>
                <c:pt idx="4">
                  <c:v>2005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'przec.zat.'!$C$15:$Q$15</c:f>
              <c:numCache>
                <c:formatCode>#\ ##0.0</c:formatCode>
                <c:ptCount val="15"/>
                <c:pt idx="0">
                  <c:v>1205.8</c:v>
                </c:pt>
                <c:pt idx="1">
                  <c:v>1464.5</c:v>
                </c:pt>
                <c:pt idx="2">
                  <c:v>1406.6</c:v>
                </c:pt>
                <c:pt idx="3">
                  <c:v>1375</c:v>
                </c:pt>
                <c:pt idx="4">
                  <c:v>1451.9</c:v>
                </c:pt>
                <c:pt idx="5">
                  <c:v>1592.1</c:v>
                </c:pt>
                <c:pt idx="6">
                  <c:v>1652.4</c:v>
                </c:pt>
                <c:pt idx="7">
                  <c:v>1701.3</c:v>
                </c:pt>
                <c:pt idx="8">
                  <c:v>1731.9</c:v>
                </c:pt>
                <c:pt idx="9">
                  <c:v>1758</c:v>
                </c:pt>
                <c:pt idx="10">
                  <c:v>1712.9</c:v>
                </c:pt>
                <c:pt idx="11">
                  <c:v>1733.4</c:v>
                </c:pt>
                <c:pt idx="12">
                  <c:v>1732.3</c:v>
                </c:pt>
                <c:pt idx="13">
                  <c:v>1687.1</c:v>
                </c:pt>
                <c:pt idx="14">
                  <c:v>1667.8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46E-42D1-AFE9-64EDAF458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6677760"/>
        <c:axId val="296679296"/>
      </c:lineChart>
      <c:catAx>
        <c:axId val="29667776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40000"/>
                  <a:lumOff val="6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tx2">
                <a:lumMod val="60000"/>
                <a:lumOff val="4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96679296"/>
        <c:crosses val="autoZero"/>
        <c:auto val="1"/>
        <c:lblAlgn val="ctr"/>
        <c:lblOffset val="100"/>
        <c:noMultiLvlLbl val="0"/>
      </c:catAx>
      <c:valAx>
        <c:axId val="296679296"/>
        <c:scaling>
          <c:orientation val="minMax"/>
          <c:max val="2000"/>
          <c:min val="0"/>
        </c:scaling>
        <c:delete val="0"/>
        <c:axPos val="l"/>
        <c:majorGridlines>
          <c:spPr>
            <a:ln>
              <a:solidFill>
                <a:srgbClr val="D2D9FE">
                  <a:alpha val="32157"/>
                </a:srgbClr>
              </a:solidFill>
            </a:ln>
          </c:spPr>
        </c:majorGridlines>
        <c:minorGridlines>
          <c:spPr>
            <a:ln w="6350">
              <a:solidFill>
                <a:schemeClr val="tx2">
                  <a:lumMod val="75000"/>
                  <a:alpha val="82000"/>
                </a:schemeClr>
              </a:solidFill>
              <a:prstDash val="sysDot"/>
            </a:ln>
          </c:spPr>
        </c:minorGridlines>
        <c:numFmt formatCode="#\ ##0.0" sourceLinked="1"/>
        <c:majorTickMark val="out"/>
        <c:minorTickMark val="none"/>
        <c:tickLblPos val="nextTo"/>
        <c:spPr>
          <a:noFill/>
          <a:ln>
            <a:solidFill>
              <a:schemeClr val="tx2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96677760"/>
        <c:crosses val="autoZero"/>
        <c:crossBetween val="midCat"/>
        <c:majorUnit val="200"/>
        <c:minorUnit val="50"/>
      </c:valAx>
      <c:spPr>
        <a:noFill/>
      </c:spPr>
    </c:plotArea>
    <c:legend>
      <c:legendPos val="t"/>
      <c:layout>
        <c:manualLayout>
          <c:xMode val="edge"/>
          <c:yMode val="edge"/>
          <c:x val="0.3516584669851382"/>
          <c:y val="0.31564072643181862"/>
          <c:w val="0.36202059718247503"/>
          <c:h val="0.14180828903026549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400" b="0">
                <a:latin typeface="Arial" panose="020B0604020202020204" pitchFamily="34" charset="0"/>
                <a:cs typeface="Arial" panose="020B0604020202020204" pitchFamily="34" charset="0"/>
              </a:rPr>
              <a:t>Wzrost/spadek</a:t>
            </a:r>
            <a:r>
              <a:rPr lang="pl-PL" sz="1400" b="0" baseline="0">
                <a:latin typeface="Arial" panose="020B0604020202020204" pitchFamily="34" charset="0"/>
                <a:cs typeface="Arial" panose="020B0604020202020204" pitchFamily="34" charset="0"/>
              </a:rPr>
              <a:t> przeciętnego zatrudnienia</a:t>
            </a:r>
          </a:p>
          <a:p>
            <a:pPr>
              <a:defRPr sz="14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400" b="0">
                <a:latin typeface="Arial" panose="020B0604020202020204" pitchFamily="34" charset="0"/>
                <a:cs typeface="Arial" panose="020B0604020202020204" pitchFamily="34" charset="0"/>
              </a:rPr>
              <a:t>porównanie 1995 do 2024 [tys. etatów]</a:t>
            </a:r>
          </a:p>
          <a:p>
            <a:pPr>
              <a:defRPr sz="14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 sz="14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414121311759106"/>
          <c:y val="2.55430999546886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249557228009081E-2"/>
          <c:y val="3.237597377760057E-2"/>
          <c:w val="0.88242453865517367"/>
          <c:h val="0.8621585682808490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'przec.zat.'!$R$2:$R$5</c:f>
              <c:strCache>
                <c:ptCount val="4"/>
                <c:pt idx="0">
                  <c:v>Wzrost</c:v>
                </c:pt>
                <c:pt idx="1">
                  <c:v>Spadek</c:v>
                </c:pt>
                <c:pt idx="2">
                  <c:v>1995=</c:v>
                </c:pt>
                <c:pt idx="3">
                  <c:v>100%</c:v>
                </c:pt>
              </c:strCache>
            </c:strRef>
          </c:tx>
          <c:spPr>
            <a:gradFill>
              <a:gsLst>
                <a:gs pos="0">
                  <a:srgbClr val="66FF33">
                    <a:alpha val="83000"/>
                  </a:srgbClr>
                </a:gs>
                <a:gs pos="78000">
                  <a:schemeClr val="accent1">
                    <a:lumMod val="45000"/>
                    <a:lumOff val="55000"/>
                    <a:alpha val="73000"/>
                  </a:schemeClr>
                </a:gs>
                <a:gs pos="90000">
                  <a:schemeClr val="tx2">
                    <a:lumMod val="40000"/>
                    <a:lumOff val="60000"/>
                    <a:alpha val="68000"/>
                  </a:schemeClr>
                </a:gs>
                <a:gs pos="100000">
                  <a:schemeClr val="accent1">
                    <a:alpha val="84000"/>
                    <a:lumMod val="78000"/>
                    <a:lumOff val="22000"/>
                  </a:schemeClr>
                </a:gs>
              </a:gsLst>
              <a:lin ang="5400000" scaled="1"/>
            </a:gradFill>
            <a:ln w="3175">
              <a:solidFill>
                <a:srgbClr val="0000FF"/>
              </a:solidFill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('przec.zat.'!$B$6:$B$7,'przec.zat.'!$B$13,'przec.zat.'!$B$15:$B$17)</c:f>
              <c:strCache>
                <c:ptCount val="6"/>
                <c:pt idx="0">
                  <c:v>ogółem</c:v>
                </c:pt>
                <c:pt idx="1">
                  <c:v>sektor publiczny</c:v>
                </c:pt>
                <c:pt idx="2">
                  <c:v>sektor prywatny</c:v>
                </c:pt>
                <c:pt idx="3">
                  <c:v>własność prywatna krajowa</c:v>
                </c:pt>
                <c:pt idx="4">
                  <c:v>   w tym spółdzielnie</c:v>
                </c:pt>
                <c:pt idx="5">
                  <c:v>Własność zagraniczna</c:v>
                </c:pt>
              </c:strCache>
            </c:strRef>
          </c:cat>
          <c:val>
            <c:numRef>
              <c:f>('przec.zat.'!$R$6:$R$7,'przec.zat.'!$R$13,'przec.zat.'!$R$15:$R$17)</c:f>
              <c:numCache>
                <c:formatCode>#\ ##0.0</c:formatCode>
                <c:ptCount val="6"/>
                <c:pt idx="0">
                  <c:v>-16.624772471179686</c:v>
                </c:pt>
                <c:pt idx="1">
                  <c:v>-85.720332257552499</c:v>
                </c:pt>
                <c:pt idx="2">
                  <c:v>66.505410566518151</c:v>
                </c:pt>
                <c:pt idx="3">
                  <c:v>38.314811743241002</c:v>
                </c:pt>
                <c:pt idx="4">
                  <c:v>-83.562315996074588</c:v>
                </c:pt>
                <c:pt idx="5">
                  <c:v>495.97585513078474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0C-4C24-970C-A2855C9BC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677760"/>
        <c:axId val="296679296"/>
      </c:barChart>
      <c:catAx>
        <c:axId val="29667776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40000"/>
                  <a:lumOff val="60000"/>
                  <a:alpha val="76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pl-PL" sz="1600" b="0">
                    <a:latin typeface="Arial" panose="020B0604020202020204" pitchFamily="34" charset="0"/>
                    <a:cs typeface="Arial" panose="020B0604020202020204" pitchFamily="34" charset="0"/>
                  </a:rPr>
                  <a:t>Formy własności</a:t>
                </a:r>
              </a:p>
            </c:rich>
          </c:tx>
          <c:layout>
            <c:manualLayout>
              <c:xMode val="edge"/>
              <c:yMode val="edge"/>
              <c:x val="0.37431962855427303"/>
              <c:y val="0.80156625759466371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22225">
            <a:solidFill>
              <a:schemeClr val="tx1">
                <a:alpha val="65000"/>
              </a:schemeClr>
            </a:solidFill>
            <a:prstDash val="solid"/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96679296"/>
        <c:crosses val="autoZero"/>
        <c:auto val="1"/>
        <c:lblAlgn val="ctr"/>
        <c:lblOffset val="100"/>
        <c:noMultiLvlLbl val="0"/>
      </c:catAx>
      <c:valAx>
        <c:axId val="296679296"/>
        <c:scaling>
          <c:orientation val="minMax"/>
        </c:scaling>
        <c:delete val="0"/>
        <c:axPos val="l"/>
        <c:majorGridlines>
          <c:spPr>
            <a:ln>
              <a:solidFill>
                <a:srgbClr val="D2D9FE">
                  <a:alpha val="32157"/>
                </a:srgbClr>
              </a:solidFill>
            </a:ln>
          </c:spPr>
        </c:majorGridlines>
        <c:minorGridlines>
          <c:spPr>
            <a:ln w="6350">
              <a:solidFill>
                <a:schemeClr val="tx2">
                  <a:lumMod val="75000"/>
                  <a:alpha val="82000"/>
                </a:schemeClr>
              </a:solidFill>
              <a:prstDash val="sysDot"/>
            </a:ln>
          </c:spPr>
        </c:minorGridlines>
        <c:numFmt formatCode="#\ ##0.0" sourceLinked="1"/>
        <c:majorTickMark val="out"/>
        <c:minorTickMark val="none"/>
        <c:tickLblPos val="nextTo"/>
        <c:spPr>
          <a:noFill/>
          <a:ln>
            <a:solidFill>
              <a:srgbClr val="0000FF"/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9667776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" l="0" r="0" t="0" header="0" footer="0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pl-PL" sz="800">
                <a:latin typeface="Times New Roman" panose="02020603050405020304" pitchFamily="18" charset="0"/>
                <a:cs typeface="Times New Roman" panose="02020603050405020304" pitchFamily="18" charset="0"/>
              </a:rPr>
              <a:t>Efektywność kosztowa   (koszt ponownego zatrudnienia)</a:t>
            </a:r>
            <a:endParaRPr lang="en-US" sz="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3536040099248639"/>
          <c:y val="3.0095681067608418E-2"/>
        </c:manualLayout>
      </c:layout>
      <c:overlay val="0"/>
    </c:title>
    <c:autoTitleDeleted val="0"/>
    <c:view3D>
      <c:rotX val="15"/>
      <c:rotY val="20"/>
      <c:rAngAx val="0"/>
      <c:perspective val="20"/>
    </c:view3D>
    <c:floor>
      <c:thickness val="0"/>
      <c:spPr>
        <a:solidFill>
          <a:schemeClr val="tx2">
            <a:lumMod val="20000"/>
            <a:lumOff val="80000"/>
            <a:alpha val="53000"/>
          </a:scheme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8262674066170759E-2"/>
          <c:y val="4.1483333807487366E-2"/>
          <c:w val="0.92608588820014515"/>
          <c:h val="0.798980122480757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S.25!$C$13</c:f>
              <c:strCache>
                <c:ptCount val="1"/>
                <c:pt idx="0">
                  <c:v>Efektywność kosztowa (w proc.)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C6F-4BA9-82C9-D85BF3C6D1E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C6F-4BA9-82C9-D85BF3C6D1E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C6F-4BA9-82C9-D85BF3C6D1E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C6F-4BA9-82C9-D85BF3C6D1E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C6F-4BA9-82C9-D85BF3C6D1E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C6F-4BA9-82C9-D85BF3C6D1E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C6F-4BA9-82C9-D85BF3C6D1E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C6F-4BA9-82C9-D85BF3C6D1E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C6F-4BA9-82C9-D85BF3C6D1EE}"/>
              </c:ext>
            </c:extLst>
          </c:dPt>
          <c:dLbls>
            <c:dLbl>
              <c:idx val="0"/>
              <c:layout>
                <c:manualLayout>
                  <c:x val="-4.9536705747293009E-4"/>
                  <c:y val="0.403431559228365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6F-4BA9-82C9-D85BF3C6D1EE}"/>
                </c:ext>
              </c:extLst>
            </c:dLbl>
            <c:dLbl>
              <c:idx val="1"/>
              <c:layout>
                <c:manualLayout>
                  <c:x val="1.8988235741960733E-3"/>
                  <c:y val="0.411836077831658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6F-4BA9-82C9-D85BF3C6D1EE}"/>
                </c:ext>
              </c:extLst>
            </c:dLbl>
            <c:dLbl>
              <c:idx val="2"/>
              <c:layout>
                <c:manualLayout>
                  <c:x val="3.2126231614068492E-3"/>
                  <c:y val="0.298196595635516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6F-4BA9-82C9-D85BF3C6D1EE}"/>
                </c:ext>
              </c:extLst>
            </c:dLbl>
            <c:dLbl>
              <c:idx val="3"/>
              <c:layout>
                <c:manualLayout>
                  <c:x val="-1.0184492924114842E-3"/>
                  <c:y val="0.295533300388084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6F-4BA9-82C9-D85BF3C6D1EE}"/>
                </c:ext>
              </c:extLst>
            </c:dLbl>
            <c:dLbl>
              <c:idx val="4"/>
              <c:layout>
                <c:manualLayout>
                  <c:x val="1.2553639720724508E-3"/>
                  <c:y val="0.271736904014978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6F-4BA9-82C9-D85BF3C6D1EE}"/>
                </c:ext>
              </c:extLst>
            </c:dLbl>
            <c:dLbl>
              <c:idx val="5"/>
              <c:layout>
                <c:manualLayout>
                  <c:x val="9.1077867203722077E-3"/>
                  <c:y val="0.24671042422731726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12 </a:t>
                    </a:r>
                    <a:r>
                      <a:rPr lang="en-US"/>
                      <a:t>296,1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C6F-4BA9-82C9-D85BF3C6D1EE}"/>
                </c:ext>
              </c:extLst>
            </c:dLbl>
            <c:dLbl>
              <c:idx val="6"/>
              <c:layout>
                <c:manualLayout>
                  <c:x val="6.3697036783464554E-3"/>
                  <c:y val="0.1986637260692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6F-4BA9-82C9-D85BF3C6D1EE}"/>
                </c:ext>
              </c:extLst>
            </c:dLbl>
            <c:dLbl>
              <c:idx val="7"/>
              <c:layout>
                <c:manualLayout>
                  <c:x val="6.3467155746900978E-3"/>
                  <c:y val="0.193331608064389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6F-4BA9-82C9-D85BF3C6D1EE}"/>
                </c:ext>
              </c:extLst>
            </c:dLbl>
            <c:dLbl>
              <c:idx val="8"/>
              <c:layout>
                <c:manualLayout>
                  <c:x val="4.2311437164600655E-3"/>
                  <c:y val="0.153277900740551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6F-4BA9-82C9-D85BF3C6D1EE}"/>
                </c:ext>
              </c:extLst>
            </c:dLbl>
            <c:spPr>
              <a:solidFill>
                <a:schemeClr val="bg1"/>
              </a:solidFill>
            </c:spPr>
            <c:txPr>
              <a:bodyPr rot="-5400000" vert="horz"/>
              <a:lstStyle/>
              <a:p>
                <a:pPr>
                  <a:defRPr sz="105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S.25!$B$14:$B$22</c:f>
              <c:strCache>
                <c:ptCount val="9"/>
                <c:pt idx="0">
                  <c:v>Dofinansowanie działalności gospodarczej</c:v>
                </c:pt>
                <c:pt idx="1">
                  <c:v>Refundacja kosztów wyposażenia lub doposażenia miejsca pracy</c:v>
                </c:pt>
                <c:pt idx="2">
                  <c:v>Roboty publiczne</c:v>
                </c:pt>
                <c:pt idx="3">
                  <c:v>Razem 6 form (do por.)</c:v>
                </c:pt>
                <c:pt idx="4">
                  <c:v>Razem 7 podstawowych form</c:v>
                </c:pt>
                <c:pt idx="5">
                  <c:v>Staże</c:v>
                </c:pt>
                <c:pt idx="6">
                  <c:v>Bon na zasiedlenie</c:v>
                </c:pt>
                <c:pt idx="7">
                  <c:v>Prace interwencyjne</c:v>
                </c:pt>
                <c:pt idx="8">
                  <c:v>Szkolenia</c:v>
                </c:pt>
              </c:strCache>
            </c:strRef>
          </c:cat>
          <c:val>
            <c:numRef>
              <c:f>S.25!$C$14:$C$22</c:f>
              <c:numCache>
                <c:formatCode>#\ ##0.0</c:formatCode>
                <c:ptCount val="9"/>
                <c:pt idx="0">
                  <c:v>34538.310051078312</c:v>
                </c:pt>
                <c:pt idx="1">
                  <c:v>30333.703615857827</c:v>
                </c:pt>
                <c:pt idx="2">
                  <c:v>22106.118038490007</c:v>
                </c:pt>
                <c:pt idx="3">
                  <c:v>20887.82594161715</c:v>
                </c:pt>
                <c:pt idx="4">
                  <c:v>20408.839881800512</c:v>
                </c:pt>
                <c:pt idx="5">
                  <c:v>18392.965695890409</c:v>
                </c:pt>
                <c:pt idx="6">
                  <c:v>12881.823491204332</c:v>
                </c:pt>
                <c:pt idx="7">
                  <c:v>12347.160524385772</c:v>
                </c:pt>
                <c:pt idx="8">
                  <c:v>10098.810530303028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9-DC6F-4BA9-82C9-D85BF3C6D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09727488"/>
        <c:axId val="209729024"/>
        <c:axId val="0"/>
      </c:bar3DChart>
      <c:catAx>
        <c:axId val="20972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bg1">
                <a:lumMod val="85000"/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pl-PL"/>
          </a:p>
        </c:txPr>
        <c:crossAx val="209729024"/>
        <c:crosses val="autoZero"/>
        <c:auto val="0"/>
        <c:lblAlgn val="ctr"/>
        <c:lblOffset val="100"/>
        <c:noMultiLvlLbl val="0"/>
      </c:catAx>
      <c:valAx>
        <c:axId val="209729024"/>
        <c:scaling>
          <c:orientation val="minMax"/>
          <c:max val="25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0000FF">
                <a:alpha val="41961"/>
              </a:srgbClr>
            </a:solidFill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727488"/>
        <c:crosses val="autoZero"/>
        <c:crossBetween val="between"/>
        <c:majorUnit val="5000"/>
        <c:minorUnit val="500"/>
      </c:valAx>
    </c:plotArea>
    <c:legend>
      <c:legendPos val="r"/>
      <c:layout>
        <c:manualLayout>
          <c:xMode val="edge"/>
          <c:yMode val="edge"/>
          <c:x val="3.4077441411552369E-2"/>
          <c:y val="0.81221462536906575"/>
          <c:w val="0.95790298285432274"/>
          <c:h val="0.13358884130498982"/>
        </c:manualLayout>
      </c:layout>
      <c:overlay val="0"/>
      <c:txPr>
        <a:bodyPr/>
        <a:lstStyle/>
        <a:p>
          <a:pPr>
            <a:defRPr sz="700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1"/>
    <c:view3D>
      <c:rotX val="50"/>
      <c:rotY val="179"/>
      <c:depthPercent val="21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1578446149459955E-3"/>
          <c:y val="6.0444988590355176E-4"/>
          <c:w val="0.9978421073288527"/>
          <c:h val="0.99939549771221214"/>
        </c:manualLayout>
      </c:layout>
      <c:pie3DChart>
        <c:varyColors val="1"/>
        <c:ser>
          <c:idx val="0"/>
          <c:order val="0"/>
          <c:tx>
            <c:strRef>
              <c:f>S.25!$D$36</c:f>
              <c:strCache>
                <c:ptCount val="1"/>
                <c:pt idx="0">
                  <c:v>proc.</c:v>
                </c:pt>
              </c:strCache>
            </c:strRef>
          </c:tx>
          <c:spPr>
            <a:ln w="3175">
              <a:noFill/>
            </a:ln>
            <a:effectLst>
              <a:outerShdw blurRad="40000" dist="23000" dir="5400000" rotWithShape="0">
                <a:schemeClr val="bg2">
                  <a:lumMod val="25000"/>
                  <a:alpha val="35000"/>
                </a:scheme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 prstMaterial="dkEdge">
              <a:bevelT w="114300" h="114300" prst="convex"/>
              <a:bevelB w="57150" h="57150" prst="convex"/>
            </a:sp3d>
          </c:spPr>
          <c:dPt>
            <c:idx val="0"/>
            <c:bubble3D val="0"/>
            <c:spPr>
              <a:solidFill>
                <a:srgbClr val="66FF33"/>
              </a:solidFill>
              <a:ln w="3175">
                <a:noFill/>
              </a:ln>
              <a:effectLst>
                <a:outerShdw blurRad="40000" dist="23000" dir="5400000" rotWithShape="0">
                  <a:schemeClr val="bg2">
                    <a:lumMod val="25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dkEdge">
                <a:bevelT w="114300" h="114300" prst="convex"/>
                <a:bevelB w="57150" h="57150" prst="convex"/>
              </a:sp3d>
            </c:spPr>
            <c:extLst>
              <c:ext xmlns:c16="http://schemas.microsoft.com/office/drawing/2014/chart" uri="{C3380CC4-5D6E-409C-BE32-E72D297353CC}">
                <c16:uniqueId val="{00000001-CD04-4E53-A8C3-76F72FE7E214}"/>
              </c:ext>
            </c:extLst>
          </c:dPt>
          <c:dPt>
            <c:idx val="1"/>
            <c:bubble3D val="0"/>
            <c:spPr>
              <a:gradFill>
                <a:gsLst>
                  <a:gs pos="11000">
                    <a:srgbClr val="5FBDBB"/>
                  </a:gs>
                  <a:gs pos="99000">
                    <a:srgbClr val="00FFFF"/>
                  </a:gs>
                </a:gsLst>
                <a:lin ang="0" scaled="1"/>
              </a:gradFill>
              <a:ln w="3175">
                <a:noFill/>
              </a:ln>
              <a:effectLst>
                <a:outerShdw blurRad="40000" dist="23000" dir="5400000" rotWithShape="0">
                  <a:schemeClr val="bg2">
                    <a:lumMod val="25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dkEdge">
                <a:bevelT w="114300" h="114300" prst="convex"/>
                <a:bevelB w="57150" h="57150" prst="convex"/>
              </a:sp3d>
            </c:spPr>
            <c:extLst>
              <c:ext xmlns:c16="http://schemas.microsoft.com/office/drawing/2014/chart" uri="{C3380CC4-5D6E-409C-BE32-E72D297353CC}">
                <c16:uniqueId val="{00000003-CD04-4E53-A8C3-76F72FE7E214}"/>
              </c:ext>
            </c:extLst>
          </c:dPt>
          <c:dPt>
            <c:idx val="2"/>
            <c:bubble3D val="0"/>
            <c:spPr>
              <a:gradFill flip="none" rotWithShape="1">
                <a:gsLst>
                  <a:gs pos="89000">
                    <a:schemeClr val="accent1">
                      <a:lumMod val="20000"/>
                      <a:lumOff val="80000"/>
                    </a:schemeClr>
                  </a:gs>
                  <a:gs pos="100000">
                    <a:schemeClr val="accent1">
                      <a:lumMod val="20000"/>
                      <a:lumOff val="80000"/>
                    </a:schemeClr>
                  </a:gs>
                  <a:gs pos="0">
                    <a:schemeClr val="accent1">
                      <a:lumMod val="60000"/>
                      <a:lumOff val="40000"/>
                    </a:schemeClr>
                  </a:gs>
                </a:gsLst>
                <a:lin ang="0" scaled="1"/>
                <a:tileRect/>
              </a:gradFill>
              <a:ln w="3175">
                <a:noFill/>
              </a:ln>
              <a:effectLst>
                <a:outerShdw blurRad="40000" dist="23000" dir="5400000" rotWithShape="0">
                  <a:schemeClr val="bg2">
                    <a:lumMod val="25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dkEdge">
                <a:bevelT w="114300" h="114300" prst="convex"/>
                <a:bevelB w="57150" h="57150" prst="convex"/>
              </a:sp3d>
            </c:spPr>
            <c:extLst>
              <c:ext xmlns:c16="http://schemas.microsoft.com/office/drawing/2014/chart" uri="{C3380CC4-5D6E-409C-BE32-E72D297353CC}">
                <c16:uniqueId val="{00000005-CD04-4E53-A8C3-76F72FE7E214}"/>
              </c:ext>
            </c:extLst>
          </c:dPt>
          <c:dPt>
            <c:idx val="3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3175">
                <a:noFill/>
              </a:ln>
              <a:effectLst>
                <a:outerShdw blurRad="40000" dist="23000" dir="5400000" rotWithShape="0">
                  <a:schemeClr val="bg2">
                    <a:lumMod val="25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dkEdge">
                <a:bevelT w="114300" h="114300" prst="convex"/>
                <a:bevelB w="57150" h="57150" prst="convex"/>
              </a:sp3d>
            </c:spPr>
            <c:extLst>
              <c:ext xmlns:c16="http://schemas.microsoft.com/office/drawing/2014/chart" uri="{C3380CC4-5D6E-409C-BE32-E72D297353CC}">
                <c16:uniqueId val="{00000007-CD04-4E53-A8C3-76F72FE7E214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 w="3175">
                <a:noFill/>
              </a:ln>
              <a:effectLst>
                <a:outerShdw blurRad="40000" dist="23000" dir="5400000" rotWithShape="0">
                  <a:schemeClr val="bg2">
                    <a:lumMod val="25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dkEdge">
                <a:bevelT w="114300" h="114300" prst="convex"/>
                <a:bevelB w="57150" h="57150" prst="convex"/>
              </a:sp3d>
            </c:spPr>
            <c:extLst>
              <c:ext xmlns:c16="http://schemas.microsoft.com/office/drawing/2014/chart" uri="{C3380CC4-5D6E-409C-BE32-E72D297353CC}">
                <c16:uniqueId val="{00000009-CD04-4E53-A8C3-76F72FE7E214}"/>
              </c:ext>
            </c:extLst>
          </c:dPt>
          <c:dPt>
            <c:idx val="5"/>
            <c:bubble3D val="0"/>
            <c:spPr>
              <a:gradFill>
                <a:gsLst>
                  <a:gs pos="45000">
                    <a:srgbClr val="0000FF">
                      <a:lumMod val="72000"/>
                      <a:lumOff val="28000"/>
                    </a:srgbClr>
                  </a:gs>
                  <a:gs pos="0">
                    <a:schemeClr val="bg1"/>
                  </a:gs>
                  <a:gs pos="100000">
                    <a:srgbClr val="0000FF">
                      <a:lumMod val="87000"/>
                      <a:lumOff val="13000"/>
                    </a:srgbClr>
                  </a:gs>
                </a:gsLst>
                <a:lin ang="5400000" scaled="0"/>
              </a:gradFill>
              <a:ln w="6350">
                <a:solidFill>
                  <a:schemeClr val="bg1"/>
                </a:solidFill>
              </a:ln>
              <a:effectLst>
                <a:outerShdw blurRad="40000" dist="23000" dir="5400000" rotWithShape="0">
                  <a:schemeClr val="bg2">
                    <a:lumMod val="25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dkEdge">
                <a:bevelT w="114300" h="114300" prst="convex"/>
                <a:bevelB w="57150" h="57150" prst="convex"/>
              </a:sp3d>
            </c:spPr>
            <c:extLst>
              <c:ext xmlns:c16="http://schemas.microsoft.com/office/drawing/2014/chart" uri="{C3380CC4-5D6E-409C-BE32-E72D297353CC}">
                <c16:uniqueId val="{0000000B-CD04-4E53-A8C3-76F72FE7E214}"/>
              </c:ext>
            </c:extLst>
          </c:dPt>
          <c:dPt>
            <c:idx val="6"/>
            <c:bubble3D val="0"/>
            <c:spPr>
              <a:solidFill>
                <a:schemeClr val="bg1"/>
              </a:solidFill>
              <a:ln w="12700">
                <a:solidFill>
                  <a:schemeClr val="bg1"/>
                </a:solidFill>
              </a:ln>
              <a:effectLst>
                <a:outerShdw blurRad="40000" dist="23000" dir="5400000" rotWithShape="0">
                  <a:schemeClr val="bg2">
                    <a:lumMod val="25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dkEdge">
                <a:bevelT w="114300" h="114300" prst="convex"/>
                <a:bevelB w="57150" h="57150" prst="convex"/>
              </a:sp3d>
            </c:spPr>
            <c:extLst>
              <c:ext xmlns:c16="http://schemas.microsoft.com/office/drawing/2014/chart" uri="{C3380CC4-5D6E-409C-BE32-E72D297353CC}">
                <c16:uniqueId val="{0000000D-CD04-4E53-A8C3-76F72FE7E214}"/>
              </c:ext>
            </c:extLst>
          </c:dPt>
          <c:dLbls>
            <c:dLbl>
              <c:idx val="0"/>
              <c:layout>
                <c:manualLayout>
                  <c:x val="0.2213403972420443"/>
                  <c:y val="-0.22941624965391308"/>
                </c:manualLayout>
              </c:layout>
              <c:tx>
                <c:rich>
                  <a:bodyPr/>
                  <a:lstStyle/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staże</a:t>
                    </a:r>
                  </a:p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27,7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D04-4E53-A8C3-76F72FE7E214}"/>
                </c:ext>
              </c:extLst>
            </c:dLbl>
            <c:dLbl>
              <c:idx val="1"/>
              <c:layout>
                <c:manualLayout>
                  <c:x val="0.19844819815677553"/>
                  <c:y val="0.11992115401405012"/>
                </c:manualLayout>
              </c:layout>
              <c:tx>
                <c:rich>
                  <a:bodyPr/>
                  <a:lstStyle/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dofinansowanie</a:t>
                    </a:r>
                  </a:p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działalności</a:t>
                    </a:r>
                  </a:p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gospodarczej</a:t>
                    </a:r>
                  </a:p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25,1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D04-4E53-A8C3-76F72FE7E214}"/>
                </c:ext>
              </c:extLst>
            </c:dLbl>
            <c:dLbl>
              <c:idx val="2"/>
              <c:layout>
                <c:manualLayout>
                  <c:x val="-0.18288727837824148"/>
                  <c:y val="0.10577332132251896"/>
                </c:manualLayout>
              </c:layout>
              <c:tx>
                <c:rich>
                  <a:bodyPr/>
                  <a:lstStyle/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refundacja</a:t>
                    </a:r>
                  </a:p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kosztów</a:t>
                    </a:r>
                  </a:p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18,3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D04-4E53-A8C3-76F72FE7E214}"/>
                </c:ext>
              </c:extLst>
            </c:dLbl>
            <c:dLbl>
              <c:idx val="3"/>
              <c:layout>
                <c:manualLayout>
                  <c:x val="-0.15204065455541527"/>
                  <c:y val="-0.14873760768262423"/>
                </c:manualLayout>
              </c:layout>
              <c:tx>
                <c:rich>
                  <a:bodyPr/>
                  <a:lstStyle/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prace</a:t>
                    </a:r>
                  </a:p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interwencyjne</a:t>
                    </a:r>
                  </a:p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13,9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CD04-4E53-A8C3-76F72FE7E214}"/>
                </c:ext>
              </c:extLst>
            </c:dLbl>
            <c:dLbl>
              <c:idx val="4"/>
              <c:layout>
                <c:manualLayout>
                  <c:x val="-0.11027939805216856"/>
                  <c:y val="-0.24228350403845028"/>
                </c:manualLayout>
              </c:layout>
              <c:tx>
                <c:rich>
                  <a:bodyPr/>
                  <a:lstStyle/>
                  <a:p>
                    <a:pPr>
                      <a:defRPr sz="1200" b="0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 sz="1050" b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roboty</a:t>
                    </a:r>
                  </a:p>
                  <a:p>
                    <a:pPr>
                      <a:defRPr sz="1200" b="0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 sz="1050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publiczne</a:t>
                    </a:r>
                    <a:endParaRPr lang="en-US" sz="1050" b="0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  <a:p>
                    <a:pPr>
                      <a:defRPr sz="1200" b="0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 sz="1050" b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12,3 proc.</a:t>
                    </a:r>
                  </a:p>
                </c:rich>
              </c:tx>
              <c:numFmt formatCode="#,##0.0" sourceLinked="0"/>
              <c:spPr>
                <a:noFill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CD04-4E53-A8C3-76F72FE7E214}"/>
                </c:ext>
              </c:extLst>
            </c:dLbl>
            <c:dLbl>
              <c:idx val="5"/>
              <c:layout>
                <c:manualLayout>
                  <c:x val="0.13429334858633921"/>
                  <c:y val="-3.5427704301259959E-2"/>
                </c:manualLayout>
              </c:layout>
              <c:tx>
                <c:rich>
                  <a:bodyPr/>
                  <a:lstStyle/>
                  <a:p>
                    <a:r>
                      <a:rPr lang="en-US" sz="1050"/>
                      <a:t>szkolenia</a:t>
                    </a:r>
                  </a:p>
                  <a:p>
                    <a:r>
                      <a:rPr lang="en-US" sz="1050"/>
                      <a:t>2,7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CD04-4E53-A8C3-76F72FE7E214}"/>
                </c:ext>
              </c:extLst>
            </c:dLbl>
            <c:dLbl>
              <c:idx val="6"/>
              <c:layout>
                <c:manualLayout>
                  <c:x val="-9.1161437712819579E-2"/>
                  <c:y val="-0.1945115225563216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szkolenia</a:t>
                    </a:r>
                  </a:p>
                  <a:p>
                    <a:fld id="{50252684-227D-4311-A8E5-4912ADE24245}" type="VALUE">
                      <a:rPr lang="en-US"/>
                      <a:pPr/>
                      <a:t>[WARTOŚĆ]</a:t>
                    </a:fld>
                    <a:r>
                      <a:rPr lang="en-US"/>
                      <a:t>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353581360479185"/>
                      <c:h val="0.1116256020737035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CD04-4E53-A8C3-76F72FE7E21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(S.25!$B$39:$B$43,S.25!$B$45)</c:f>
              <c:strCache>
                <c:ptCount val="6"/>
                <c:pt idx="0">
                  <c:v>Staże</c:v>
                </c:pt>
                <c:pt idx="1">
                  <c:v>Dofinansowanie działalności gospodarczej</c:v>
                </c:pt>
                <c:pt idx="2">
                  <c:v>Refundacja kosztów wyposażenia lub doposażenia miejsca pracy</c:v>
                </c:pt>
                <c:pt idx="3">
                  <c:v>Prace interwencyjne</c:v>
                </c:pt>
                <c:pt idx="4">
                  <c:v>Roboty publiczne</c:v>
                </c:pt>
                <c:pt idx="5">
                  <c:v>Szkolenia</c:v>
                </c:pt>
              </c:strCache>
            </c:strRef>
          </c:cat>
          <c:val>
            <c:numRef>
              <c:f>(S.25!$D$39:$D$43,S.25!$D$45)</c:f>
              <c:numCache>
                <c:formatCode>0.0</c:formatCode>
                <c:ptCount val="6"/>
                <c:pt idx="0">
                  <c:v>27.676231805198693</c:v>
                </c:pt>
                <c:pt idx="1">
                  <c:v>25.088189537225393</c:v>
                </c:pt>
                <c:pt idx="2">
                  <c:v>18.294986749967332</c:v>
                </c:pt>
                <c:pt idx="3">
                  <c:v>13.880802227069932</c:v>
                </c:pt>
                <c:pt idx="4">
                  <c:v>12.312044252775699</c:v>
                </c:pt>
                <c:pt idx="5">
                  <c:v>2.7477454277629558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D04-4E53-A8C3-76F72FE7E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 w="3175">
      <a:noFill/>
    </a:ln>
    <a:effectLst>
      <a:innerShdw blurRad="63500" dist="50800" dir="11340000">
        <a:schemeClr val="accent4">
          <a:lumMod val="60000"/>
          <a:lumOff val="40000"/>
          <a:alpha val="50000"/>
        </a:schemeClr>
      </a:innerShdw>
    </a:effectLst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048692037579222E-2"/>
          <c:y val="5.8148022455336748E-2"/>
          <c:w val="0.96411791913665212"/>
          <c:h val="0.712051691644694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S.24!$C$2</c:f>
              <c:strCache>
                <c:ptCount val="1"/>
                <c:pt idx="0">
                  <c:v>Efektywność zatrudnieniowa (w proc.)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scene3d>
              <a:camera prst="orthographicFront"/>
              <a:lightRig rig="threePt" dir="t"/>
            </a:scene3d>
            <a:sp3d prstMaterial="matte">
              <a:bevelT prst="angle"/>
              <a:bevelB prst="angle"/>
            </a:sp3d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98F-4802-AADA-79B61E3287D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98F-4802-AADA-79B61E3287D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98F-4802-AADA-79B61E3287D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98F-4802-AADA-79B61E3287D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98F-4802-AADA-79B61E3287D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98F-4802-AADA-79B61E3287D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98F-4802-AADA-79B61E3287DE}"/>
              </c:ext>
            </c:extLst>
          </c:dPt>
          <c:dLbls>
            <c:dLbl>
              <c:idx val="0"/>
              <c:layout>
                <c:manualLayout>
                  <c:x val="-2.5049005935708925E-3"/>
                  <c:y val="0.15965978732193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8F-4802-AADA-79B61E3287DE}"/>
                </c:ext>
              </c:extLst>
            </c:dLbl>
            <c:dLbl>
              <c:idx val="1"/>
              <c:layout>
                <c:manualLayout>
                  <c:x val="-2.5257207506255868E-3"/>
                  <c:y val="0.145532789938083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8F-4802-AADA-79B61E3287DE}"/>
                </c:ext>
              </c:extLst>
            </c:dLbl>
            <c:dLbl>
              <c:idx val="2"/>
              <c:layout>
                <c:manualLayout>
                  <c:x val="1.041007852734708E-5"/>
                  <c:y val="0.155088480427011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98F-4802-AADA-79B61E3287DE}"/>
                </c:ext>
              </c:extLst>
            </c:dLbl>
            <c:dLbl>
              <c:idx val="3"/>
              <c:layout>
                <c:manualLayout>
                  <c:x val="-2.4944905150435454E-3"/>
                  <c:y val="0.154881942077467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8F-4802-AADA-79B61E3287DE}"/>
                </c:ext>
              </c:extLst>
            </c:dLbl>
            <c:dLbl>
              <c:idx val="4"/>
              <c:layout>
                <c:manualLayout>
                  <c:x val="-4.9785709515597441E-3"/>
                  <c:y val="0.140651863622991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8F-4802-AADA-79B61E3287DE}"/>
                </c:ext>
              </c:extLst>
            </c:dLbl>
            <c:dLbl>
              <c:idx val="5"/>
              <c:layout>
                <c:manualLayout>
                  <c:x val="2.5153106720982397E-3"/>
                  <c:y val="0.140548406344075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8F-4802-AADA-79B61E3287DE}"/>
                </c:ext>
              </c:extLst>
            </c:dLbl>
            <c:dLbl>
              <c:idx val="6"/>
              <c:layout>
                <c:manualLayout>
                  <c:x val="-1.9641657598768075E-7"/>
                  <c:y val="0.135874018378527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8F-4802-AADA-79B61E3287DE}"/>
                </c:ext>
              </c:extLst>
            </c:dLbl>
            <c:dLbl>
              <c:idx val="7"/>
              <c:layout>
                <c:manualLayout>
                  <c:x val="4.9889810300870908E-3"/>
                  <c:y val="0.130584153655503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98F-4802-AADA-79B61E3287DE}"/>
                </c:ext>
              </c:extLst>
            </c:dLbl>
            <c:dLbl>
              <c:idx val="8"/>
              <c:layout>
                <c:manualLayout>
                  <c:x val="7.483471545130637E-3"/>
                  <c:y val="0.1337796668449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8F-4802-AADA-79B61E3287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S.24!$B$3:$B$11</c:f>
              <c:strCache>
                <c:ptCount val="9"/>
                <c:pt idx="0">
                  <c:v>Dofinansowanie działalności gospodarczej</c:v>
                </c:pt>
                <c:pt idx="1">
                  <c:v>Roboty publiczne</c:v>
                </c:pt>
                <c:pt idx="2">
                  <c:v>Prace interwencyjne</c:v>
                </c:pt>
                <c:pt idx="3">
                  <c:v>Bon na zasiedlenie</c:v>
                </c:pt>
                <c:pt idx="4">
                  <c:v>Refundacja kosztów wyposażenia lub doposażenia miejsca pracy</c:v>
                </c:pt>
                <c:pt idx="5">
                  <c:v>Razem 7 podstawowych form</c:v>
                </c:pt>
                <c:pt idx="6">
                  <c:v>Razem 6 form (do por.)</c:v>
                </c:pt>
                <c:pt idx="7">
                  <c:v>Staże</c:v>
                </c:pt>
                <c:pt idx="8">
                  <c:v>Szkolenia</c:v>
                </c:pt>
              </c:strCache>
            </c:strRef>
          </c:cat>
          <c:val>
            <c:numRef>
              <c:f>S.24!$C$3:$C$11</c:f>
              <c:numCache>
                <c:formatCode>0.0</c:formatCode>
                <c:ptCount val="9"/>
                <c:pt idx="0">
                  <c:v>96.070811744386873</c:v>
                </c:pt>
                <c:pt idx="1">
                  <c:v>95.273173726212406</c:v>
                </c:pt>
                <c:pt idx="2">
                  <c:v>93.311688311688314</c:v>
                </c:pt>
                <c:pt idx="3">
                  <c:v>92.462751971954432</c:v>
                </c:pt>
                <c:pt idx="4">
                  <c:v>92.219451371571068</c:v>
                </c:pt>
                <c:pt idx="5">
                  <c:v>87.851101919871596</c:v>
                </c:pt>
                <c:pt idx="6">
                  <c:v>87.501660247044768</c:v>
                </c:pt>
                <c:pt idx="7">
                  <c:v>83.199831365935921</c:v>
                </c:pt>
                <c:pt idx="8">
                  <c:v>56.77570093457944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98F-4802-AADA-79B61E3287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207615104"/>
        <c:axId val="207725312"/>
      </c:barChart>
      <c:catAx>
        <c:axId val="20761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55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7725312"/>
        <c:crosses val="autoZero"/>
        <c:auto val="1"/>
        <c:lblAlgn val="ctr"/>
        <c:lblOffset val="100"/>
        <c:noMultiLvlLbl val="0"/>
      </c:catAx>
      <c:valAx>
        <c:axId val="207725312"/>
        <c:scaling>
          <c:orientation val="minMax"/>
        </c:scaling>
        <c:delete val="0"/>
        <c:axPos val="l"/>
        <c:majorGridlines>
          <c:spPr>
            <a:ln>
              <a:solidFill>
                <a:schemeClr val="tx2">
                  <a:lumMod val="75000"/>
                  <a:alpha val="27000"/>
                </a:schemeClr>
              </a:solidFill>
            </a:ln>
          </c:spPr>
        </c:majorGridlines>
        <c:minorGridlines>
          <c:spPr>
            <a:ln>
              <a:solidFill>
                <a:schemeClr val="tx2">
                  <a:lumMod val="60000"/>
                  <a:lumOff val="40000"/>
                  <a:alpha val="17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0761510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048692037579222E-2"/>
          <c:y val="5.8148022455336748E-2"/>
          <c:w val="0.96411791913665212"/>
          <c:h val="0.722184409049629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S.24!$C$13</c:f>
              <c:strCache>
                <c:ptCount val="1"/>
                <c:pt idx="0">
                  <c:v>Efektywność kosztowa (w proc.)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scene3d>
              <a:camera prst="orthographicFront"/>
              <a:lightRig rig="threePt" dir="t"/>
            </a:scene3d>
            <a:sp3d>
              <a:bevelT prst="angle"/>
              <a:bevelB prst="angle"/>
            </a:sp3d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F75-45FD-AD84-DBA1E89B729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F75-45FD-AD84-DBA1E89B729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F75-45FD-AD84-DBA1E89B729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F75-45FD-AD84-DBA1E89B7298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F75-45FD-AD84-DBA1E89B729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F75-45FD-AD84-DBA1E89B7298}"/>
              </c:ext>
            </c:extLst>
          </c:dPt>
          <c:dLbls>
            <c:dLbl>
              <c:idx val="0"/>
              <c:layout>
                <c:manualLayout>
                  <c:x val="3.7096173978826692E-6"/>
                  <c:y val="9.5399899030771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75-45FD-AD84-DBA1E89B7298}"/>
                </c:ext>
              </c:extLst>
            </c:dLbl>
            <c:dLbl>
              <c:idx val="1"/>
              <c:layout>
                <c:manualLayout>
                  <c:x val="2.4460045663437738E-3"/>
                  <c:y val="8.3564417697988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75-45FD-AD84-DBA1E89B7298}"/>
                </c:ext>
              </c:extLst>
            </c:dLbl>
            <c:dLbl>
              <c:idx val="2"/>
              <c:layout>
                <c:manualLayout>
                  <c:x val="0"/>
                  <c:y val="8.2187087882556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75-45FD-AD84-DBA1E89B7298}"/>
                </c:ext>
              </c:extLst>
            </c:dLbl>
            <c:dLbl>
              <c:idx val="3"/>
              <c:layout>
                <c:manualLayout>
                  <c:x val="4.9663967236659142E-3"/>
                  <c:y val="7.4397367225901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75-45FD-AD84-DBA1E89B7298}"/>
                </c:ext>
              </c:extLst>
            </c:dLbl>
            <c:dLbl>
              <c:idx val="4"/>
              <c:layout>
                <c:manualLayout>
                  <c:x val="4.9663967236659142E-3"/>
                  <c:y val="7.75881230356372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75-45FD-AD84-DBA1E89B7298}"/>
                </c:ext>
              </c:extLst>
            </c:dLbl>
            <c:dLbl>
              <c:idx val="5"/>
              <c:layout>
                <c:manualLayout>
                  <c:x val="2.4832959833434275E-3"/>
                  <c:y val="7.45101055166312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75-45FD-AD84-DBA1E89B7298}"/>
                </c:ext>
              </c:extLst>
            </c:dLbl>
            <c:dLbl>
              <c:idx val="6"/>
              <c:layout>
                <c:manualLayout>
                  <c:x val="1.0347880109851533E-5"/>
                  <c:y val="7.8833779188511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75-45FD-AD84-DBA1E89B7298}"/>
                </c:ext>
              </c:extLst>
            </c:dLbl>
            <c:dLbl>
              <c:idx val="7"/>
              <c:layout>
                <c:manualLayout>
                  <c:x val="-1.947256986709387E-7"/>
                  <c:y val="9.05235758622925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75-45FD-AD84-DBA1E89B7298}"/>
                </c:ext>
              </c:extLst>
            </c:dLbl>
            <c:dLbl>
              <c:idx val="8"/>
              <c:layout>
                <c:manualLayout>
                  <c:x val="2.4730163731209215E-3"/>
                  <c:y val="7.6521345926407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75-45FD-AD84-DBA1E89B7298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8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S.24!$B$14:$B$22</c:f>
              <c:strCache>
                <c:ptCount val="9"/>
                <c:pt idx="0">
                  <c:v>Dofinansowanie działalności gospodarczej</c:v>
                </c:pt>
                <c:pt idx="1">
                  <c:v>Refundacja kosztów wyposażenia lub doposażenia miejsca pracy</c:v>
                </c:pt>
                <c:pt idx="2">
                  <c:v>Roboty publiczne</c:v>
                </c:pt>
                <c:pt idx="3">
                  <c:v>Razem 6 form (do por.)</c:v>
                </c:pt>
                <c:pt idx="4">
                  <c:v>Razem 7 podstawowych form</c:v>
                </c:pt>
                <c:pt idx="5">
                  <c:v>Staże</c:v>
                </c:pt>
                <c:pt idx="6">
                  <c:v>Prace interwencyjne</c:v>
                </c:pt>
                <c:pt idx="7">
                  <c:v>Bon na zasiedlenie</c:v>
                </c:pt>
                <c:pt idx="8">
                  <c:v>Szkolenia</c:v>
                </c:pt>
              </c:strCache>
            </c:strRef>
          </c:cat>
          <c:val>
            <c:numRef>
              <c:f>S.24!$C$14:$C$22</c:f>
              <c:numCache>
                <c:formatCode>#\ ##0.0</c:formatCode>
                <c:ptCount val="9"/>
                <c:pt idx="0">
                  <c:v>30190.15993707865</c:v>
                </c:pt>
                <c:pt idx="1">
                  <c:v>29430.554451054621</c:v>
                </c:pt>
                <c:pt idx="2">
                  <c:v>19243.137068298973</c:v>
                </c:pt>
                <c:pt idx="3">
                  <c:v>19103.241375227688</c:v>
                </c:pt>
                <c:pt idx="4">
                  <c:v>18415.408012788983</c:v>
                </c:pt>
                <c:pt idx="5">
                  <c:v>16068.55786166709</c:v>
                </c:pt>
                <c:pt idx="6">
                  <c:v>10383.166715379262</c:v>
                </c:pt>
                <c:pt idx="7">
                  <c:v>9824.9886919431283</c:v>
                </c:pt>
                <c:pt idx="8">
                  <c:v>9581.5357613168762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F75-45FD-AD84-DBA1E89B72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207736192"/>
        <c:axId val="209263616"/>
      </c:barChart>
      <c:catAx>
        <c:axId val="20773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55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9263616"/>
        <c:crosses val="autoZero"/>
        <c:auto val="1"/>
        <c:lblAlgn val="ctr"/>
        <c:lblOffset val="100"/>
        <c:noMultiLvlLbl val="0"/>
      </c:catAx>
      <c:valAx>
        <c:axId val="209263616"/>
        <c:scaling>
          <c:orientation val="minMax"/>
        </c:scaling>
        <c:delete val="0"/>
        <c:axPos val="l"/>
        <c:majorGridlines>
          <c:spPr>
            <a:ln>
              <a:solidFill>
                <a:schemeClr val="tx2">
                  <a:lumMod val="75000"/>
                  <a:alpha val="57000"/>
                </a:schemeClr>
              </a:solidFill>
            </a:ln>
          </c:spPr>
        </c:majorGridlines>
        <c:minorGridlines>
          <c:spPr>
            <a:ln>
              <a:solidFill>
                <a:schemeClr val="tx2">
                  <a:lumMod val="60000"/>
                  <a:lumOff val="40000"/>
                  <a:alpha val="33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077361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7668160701254533"/>
          <c:y val="2.5747673316920901E-2"/>
        </c:manualLayout>
      </c:layout>
      <c:overlay val="0"/>
      <c:txPr>
        <a:bodyPr/>
        <a:lstStyle/>
        <a:p>
          <a:pPr>
            <a:defRPr sz="11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title>
    <c:autoTitleDeleted val="0"/>
    <c:view3D>
      <c:rotX val="15"/>
      <c:rotY val="20"/>
      <c:rAngAx val="0"/>
      <c:perspective val="20"/>
    </c:view3D>
    <c:floor>
      <c:thickness val="0"/>
      <c:spPr>
        <a:solidFill>
          <a:schemeClr val="tx2">
            <a:lumMod val="75000"/>
            <a:alpha val="24706"/>
          </a:scheme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2257990839927122E-2"/>
          <c:y val="4.9073537148651487E-2"/>
          <c:w val="0.90393941019348711"/>
          <c:h val="0.812415929506581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S.24!$C$13</c:f>
              <c:strCache>
                <c:ptCount val="1"/>
                <c:pt idx="0">
                  <c:v>Efektywność kosztowa (w proc.)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476-4558-9424-5A89B2AE9E72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79375">
                <a:noFill/>
              </a:ln>
              <a:effectLst/>
              <a:scene3d>
                <a:camera prst="orthographicFront"/>
                <a:lightRig rig="threePt" dir="t"/>
              </a:scene3d>
              <a:sp3d prstMaterial="metal">
                <a:bevelB w="114300" prst="hardEdg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476-4558-9424-5A89B2AE9E72}"/>
              </c:ext>
            </c:extLst>
          </c:dPt>
          <c:dLbls>
            <c:dLbl>
              <c:idx val="0"/>
              <c:layout>
                <c:manualLayout>
                  <c:x val="1.853997276521796E-2"/>
                  <c:y val="-1.0300426399803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76-4558-9424-5A89B2AE9E72}"/>
                </c:ext>
              </c:extLst>
            </c:dLbl>
            <c:dLbl>
              <c:idx val="1"/>
              <c:layout>
                <c:manualLayout>
                  <c:x val="2.0934110980568941E-2"/>
                  <c:y val="-2.4034328266208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76-4558-9424-5A89B2AE9E72}"/>
                </c:ext>
              </c:extLst>
            </c:dLbl>
            <c:dLbl>
              <c:idx val="2"/>
              <c:layout>
                <c:manualLayout>
                  <c:x val="2.2247967318261553E-2"/>
                  <c:y val="-2.4034328266208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76-4558-9424-5A89B2AE9E72}"/>
                </c:ext>
              </c:extLst>
            </c:dLbl>
            <c:dLbl>
              <c:idx val="3"/>
              <c:layout>
                <c:manualLayout>
                  <c:x val="2.2248027548105186E-2"/>
                  <c:y val="-1.0781043483744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76-4558-9424-5A89B2AE9E72}"/>
                </c:ext>
              </c:extLst>
            </c:dLbl>
            <c:dLbl>
              <c:idx val="4"/>
              <c:layout>
                <c:manualLayout>
                  <c:x val="2.2247967318261553E-2"/>
                  <c:y val="-6.86695093320241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76-4558-9424-5A89B2AE9E72}"/>
                </c:ext>
              </c:extLst>
            </c:dLbl>
            <c:dLbl>
              <c:idx val="5"/>
              <c:layout>
                <c:manualLayout>
                  <c:x val="1.5958974981839586E-2"/>
                  <c:y val="-2.7467803732809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76-4558-9424-5A89B2AE9E72}"/>
                </c:ext>
              </c:extLst>
            </c:dLbl>
            <c:dLbl>
              <c:idx val="6"/>
              <c:layout>
                <c:manualLayout>
                  <c:x val="1.4831978212174367E-2"/>
                  <c:y val="-1.0300426399803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76-4558-9424-5A89B2AE9E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S.24!$B$14:$B$22</c:f>
              <c:strCache>
                <c:ptCount val="9"/>
                <c:pt idx="0">
                  <c:v>Dofinansowanie działalności gospodarczej</c:v>
                </c:pt>
                <c:pt idx="1">
                  <c:v>Refundacja kosztów wyposażenia lub doposażenia miejsca pracy</c:v>
                </c:pt>
                <c:pt idx="2">
                  <c:v>Roboty publiczne</c:v>
                </c:pt>
                <c:pt idx="3">
                  <c:v>Razem 6 form (do por.)</c:v>
                </c:pt>
                <c:pt idx="4">
                  <c:v>Razem 7 podstawowych form</c:v>
                </c:pt>
                <c:pt idx="5">
                  <c:v>Staże</c:v>
                </c:pt>
                <c:pt idx="6">
                  <c:v>Prace interwencyjne</c:v>
                </c:pt>
                <c:pt idx="7">
                  <c:v>Bon na zasiedlenie</c:v>
                </c:pt>
                <c:pt idx="8">
                  <c:v>Szkolenia</c:v>
                </c:pt>
              </c:strCache>
            </c:strRef>
          </c:cat>
          <c:val>
            <c:numRef>
              <c:f>S.24!$C$14:$C$22</c:f>
              <c:numCache>
                <c:formatCode>#\ ##0.0</c:formatCode>
                <c:ptCount val="9"/>
                <c:pt idx="0">
                  <c:v>30190.15993707865</c:v>
                </c:pt>
                <c:pt idx="1">
                  <c:v>29430.554451054621</c:v>
                </c:pt>
                <c:pt idx="2">
                  <c:v>19243.137068298973</c:v>
                </c:pt>
                <c:pt idx="3">
                  <c:v>19103.241375227688</c:v>
                </c:pt>
                <c:pt idx="4">
                  <c:v>18415.408012788983</c:v>
                </c:pt>
                <c:pt idx="5">
                  <c:v>16068.55786166709</c:v>
                </c:pt>
                <c:pt idx="6">
                  <c:v>10383.166715379262</c:v>
                </c:pt>
                <c:pt idx="7">
                  <c:v>9824.9886919431283</c:v>
                </c:pt>
                <c:pt idx="8">
                  <c:v>9581.5357613168762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9-6476-4558-9424-5A89B2AE9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09302272"/>
        <c:axId val="209303808"/>
        <c:axId val="0"/>
      </c:bar3DChart>
      <c:catAx>
        <c:axId val="20930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303808"/>
        <c:crosses val="autoZero"/>
        <c:auto val="0"/>
        <c:lblAlgn val="ctr"/>
        <c:lblOffset val="100"/>
        <c:noMultiLvlLbl val="0"/>
      </c:catAx>
      <c:valAx>
        <c:axId val="209303808"/>
        <c:scaling>
          <c:orientation val="minMax"/>
          <c:max val="35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0000FF">
                <a:alpha val="42000"/>
              </a:srgbClr>
            </a:solidFill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302272"/>
        <c:crosses val="autoZero"/>
        <c:crossBetween val="between"/>
        <c:majorUnit val="5000"/>
        <c:minorUnit val="900"/>
      </c:valAx>
    </c:plotArea>
    <c:legend>
      <c:legendPos val="r"/>
      <c:layout>
        <c:manualLayout>
          <c:xMode val="edge"/>
          <c:yMode val="edge"/>
          <c:x val="0.4821484864582436"/>
          <c:y val="0.10656822328660444"/>
          <c:w val="0.45257026479245388"/>
          <c:h val="0.28076203075781453"/>
        </c:manualLayout>
      </c:layout>
      <c:overlay val="0"/>
      <c:txPr>
        <a:bodyPr/>
        <a:lstStyle/>
        <a:p>
          <a:pPr>
            <a:defRPr sz="7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256868</xdr:colOff>
      <xdr:row>0</xdr:row>
      <xdr:rowOff>163388</xdr:rowOff>
    </xdr:from>
    <xdr:to>
      <xdr:col>6</xdr:col>
      <xdr:colOff>68517</xdr:colOff>
      <xdr:row>11</xdr:row>
      <xdr:rowOff>250978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F402B7C8-0FD3-46E4-8909-0AF8A6251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23464</xdr:colOff>
      <xdr:row>0</xdr:row>
      <xdr:rowOff>77985</xdr:rowOff>
    </xdr:from>
    <xdr:to>
      <xdr:col>9</xdr:col>
      <xdr:colOff>489856</xdr:colOff>
      <xdr:row>12</xdr:row>
      <xdr:rowOff>489857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AF764CBA-16A0-4B3E-A073-3227085D5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94118</xdr:colOff>
      <xdr:row>12</xdr:row>
      <xdr:rowOff>154043</xdr:rowOff>
    </xdr:from>
    <xdr:to>
      <xdr:col>11</xdr:col>
      <xdr:colOff>164988</xdr:colOff>
      <xdr:row>29</xdr:row>
      <xdr:rowOff>136071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AFCE4D9C-4C44-4AB5-91EC-F18C860E22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418350</xdr:colOff>
      <xdr:row>27</xdr:row>
      <xdr:rowOff>22215</xdr:rowOff>
    </xdr:from>
    <xdr:to>
      <xdr:col>7</xdr:col>
      <xdr:colOff>526141</xdr:colOff>
      <xdr:row>46</xdr:row>
      <xdr:rowOff>174815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98B8D200-8D53-4B30-856F-E6808331F1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136070</xdr:colOff>
      <xdr:row>11</xdr:row>
      <xdr:rowOff>50651</xdr:rowOff>
    </xdr:from>
    <xdr:to>
      <xdr:col>7</xdr:col>
      <xdr:colOff>486747</xdr:colOff>
      <xdr:row>29</xdr:row>
      <xdr:rowOff>68037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25C05D10-977A-478F-8884-DA17426E8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199346</xdr:colOff>
      <xdr:row>11</xdr:row>
      <xdr:rowOff>141855</xdr:rowOff>
    </xdr:from>
    <xdr:to>
      <xdr:col>19</xdr:col>
      <xdr:colOff>221116</xdr:colOff>
      <xdr:row>32</xdr:row>
      <xdr:rowOff>112260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AFFFF00E-EAEA-444C-84BB-9391161D4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1083467</xdr:colOff>
      <xdr:row>0</xdr:row>
      <xdr:rowOff>96842</xdr:rowOff>
    </xdr:from>
    <xdr:to>
      <xdr:col>17</xdr:col>
      <xdr:colOff>95249</xdr:colOff>
      <xdr:row>11</xdr:row>
      <xdr:rowOff>95250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392907</xdr:colOff>
      <xdr:row>0</xdr:row>
      <xdr:rowOff>135466</xdr:rowOff>
    </xdr:from>
    <xdr:to>
      <xdr:col>26</xdr:col>
      <xdr:colOff>440531</xdr:colOff>
      <xdr:row>13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733502</xdr:colOff>
      <xdr:row>24</xdr:row>
      <xdr:rowOff>98652</xdr:rowOff>
    </xdr:from>
    <xdr:to>
      <xdr:col>10</xdr:col>
      <xdr:colOff>83343</xdr:colOff>
      <xdr:row>38</xdr:row>
      <xdr:rowOff>35718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176214</xdr:colOff>
      <xdr:row>12</xdr:row>
      <xdr:rowOff>117211</xdr:rowOff>
    </xdr:from>
    <xdr:to>
      <xdr:col>26</xdr:col>
      <xdr:colOff>202405</xdr:colOff>
      <xdr:row>29</xdr:row>
      <xdr:rowOff>59531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129270</xdr:colOff>
      <xdr:row>22</xdr:row>
      <xdr:rowOff>81718</xdr:rowOff>
    </xdr:from>
    <xdr:to>
      <xdr:col>6</xdr:col>
      <xdr:colOff>83343</xdr:colOff>
      <xdr:row>36</xdr:row>
      <xdr:rowOff>83343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23813</xdr:colOff>
      <xdr:row>10</xdr:row>
      <xdr:rowOff>124619</xdr:rowOff>
    </xdr:from>
    <xdr:to>
      <xdr:col>17</xdr:col>
      <xdr:colOff>333376</xdr:colOff>
      <xdr:row>26</xdr:row>
      <xdr:rowOff>130968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321468</xdr:colOff>
      <xdr:row>13</xdr:row>
      <xdr:rowOff>273847</xdr:rowOff>
    </xdr:from>
    <xdr:to>
      <xdr:col>11</xdr:col>
      <xdr:colOff>2047875</xdr:colOff>
      <xdr:row>26</xdr:row>
      <xdr:rowOff>214312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CDF81B8-718E-4AF7-848F-03E978A4D5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2083593</xdr:colOff>
      <xdr:row>13</xdr:row>
      <xdr:rowOff>238125</xdr:rowOff>
    </xdr:from>
    <xdr:to>
      <xdr:col>17</xdr:col>
      <xdr:colOff>595312</xdr:colOff>
      <xdr:row>26</xdr:row>
      <xdr:rowOff>190500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5D67ABCD-5CC7-47A8-B498-C57426520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0</xdr:row>
      <xdr:rowOff>180975</xdr:rowOff>
    </xdr:from>
    <xdr:to>
      <xdr:col>18</xdr:col>
      <xdr:colOff>285750</xdr:colOff>
      <xdr:row>34</xdr:row>
      <xdr:rowOff>95250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id="{71CB69B2-8549-4957-AD15-583967A07205}"/>
            </a:ext>
          </a:extLst>
        </xdr:cNvPr>
        <xdr:cNvGrpSpPr/>
      </xdr:nvGrpSpPr>
      <xdr:grpSpPr>
        <a:xfrm>
          <a:off x="5882217" y="180975"/>
          <a:ext cx="5695950" cy="6370108"/>
          <a:chOff x="5029200" y="219075"/>
          <a:chExt cx="5962650" cy="6572250"/>
        </a:xfrm>
      </xdr:grpSpPr>
      <xdr:grpSp>
        <xdr:nvGrpSpPr>
          <xdr:cNvPr id="3" name="Group 127">
            <a:extLst>
              <a:ext uri="{FF2B5EF4-FFF2-40B4-BE49-F238E27FC236}">
                <a16:creationId xmlns:a16="http://schemas.microsoft.com/office/drawing/2014/main" id="{CEC688A1-D274-4771-9066-4A08C2362CEA}"/>
              </a:ext>
            </a:extLst>
          </xdr:cNvPr>
          <xdr:cNvGrpSpPr>
            <a:grpSpLocks/>
          </xdr:cNvGrpSpPr>
        </xdr:nvGrpSpPr>
        <xdr:grpSpPr bwMode="auto">
          <a:xfrm>
            <a:off x="5029200" y="219075"/>
            <a:ext cx="5962650" cy="6572250"/>
            <a:chOff x="2843" y="4340"/>
            <a:chExt cx="7177" cy="8496"/>
          </a:xfrm>
        </xdr:grpSpPr>
        <xdr:grpSp>
          <xdr:nvGrpSpPr>
            <xdr:cNvPr id="19" name="Group 126">
              <a:extLst>
                <a:ext uri="{FF2B5EF4-FFF2-40B4-BE49-F238E27FC236}">
                  <a16:creationId xmlns:a16="http://schemas.microsoft.com/office/drawing/2014/main" id="{63C6597E-DF10-4BDA-8CB4-54E04EF1C91D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43" y="4340"/>
              <a:ext cx="7177" cy="8496"/>
              <a:chOff x="2999" y="4401"/>
              <a:chExt cx="7177" cy="8496"/>
            </a:xfrm>
          </xdr:grpSpPr>
          <xdr:sp macro="" textlink="">
            <xdr:nvSpPr>
              <xdr:cNvPr id="41" name="Freeform 48">
                <a:extLst>
                  <a:ext uri="{FF2B5EF4-FFF2-40B4-BE49-F238E27FC236}">
                    <a16:creationId xmlns:a16="http://schemas.microsoft.com/office/drawing/2014/main" id="{4E4D6BE0-B183-479A-8AC0-EA4ECB208B3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4989" y="6480"/>
                <a:ext cx="1666" cy="2925"/>
              </a:xfrm>
              <a:custGeom>
                <a:avLst/>
                <a:gdLst>
                  <a:gd name="T0" fmla="*/ 54 w 751"/>
                  <a:gd name="T1" fmla="*/ 706 h 1233"/>
                  <a:gd name="T2" fmla="*/ 54 w 751"/>
                  <a:gd name="T3" fmla="*/ 581 h 1233"/>
                  <a:gd name="T4" fmla="*/ 36 w 751"/>
                  <a:gd name="T5" fmla="*/ 483 h 1233"/>
                  <a:gd name="T6" fmla="*/ 134 w 751"/>
                  <a:gd name="T7" fmla="*/ 384 h 1233"/>
                  <a:gd name="T8" fmla="*/ 206 w 751"/>
                  <a:gd name="T9" fmla="*/ 295 h 1233"/>
                  <a:gd name="T10" fmla="*/ 304 w 751"/>
                  <a:gd name="T11" fmla="*/ 250 h 1233"/>
                  <a:gd name="T12" fmla="*/ 393 w 751"/>
                  <a:gd name="T13" fmla="*/ 215 h 1233"/>
                  <a:gd name="T14" fmla="*/ 385 w 751"/>
                  <a:gd name="T15" fmla="*/ 117 h 1233"/>
                  <a:gd name="T16" fmla="*/ 304 w 751"/>
                  <a:gd name="T17" fmla="*/ 108 h 1233"/>
                  <a:gd name="T18" fmla="*/ 304 w 751"/>
                  <a:gd name="T19" fmla="*/ 99 h 1233"/>
                  <a:gd name="T20" fmla="*/ 313 w 751"/>
                  <a:gd name="T21" fmla="*/ 90 h 1233"/>
                  <a:gd name="T22" fmla="*/ 322 w 751"/>
                  <a:gd name="T23" fmla="*/ 81 h 1233"/>
                  <a:gd name="T24" fmla="*/ 340 w 751"/>
                  <a:gd name="T25" fmla="*/ 81 h 1233"/>
                  <a:gd name="T26" fmla="*/ 358 w 751"/>
                  <a:gd name="T27" fmla="*/ 81 h 1233"/>
                  <a:gd name="T28" fmla="*/ 385 w 751"/>
                  <a:gd name="T29" fmla="*/ 72 h 1233"/>
                  <a:gd name="T30" fmla="*/ 402 w 751"/>
                  <a:gd name="T31" fmla="*/ 63 h 1233"/>
                  <a:gd name="T32" fmla="*/ 411 w 751"/>
                  <a:gd name="T33" fmla="*/ 36 h 1233"/>
                  <a:gd name="T34" fmla="*/ 411 w 751"/>
                  <a:gd name="T35" fmla="*/ 18 h 1233"/>
                  <a:gd name="T36" fmla="*/ 429 w 751"/>
                  <a:gd name="T37" fmla="*/ 9 h 1233"/>
                  <a:gd name="T38" fmla="*/ 456 w 751"/>
                  <a:gd name="T39" fmla="*/ 0 h 1233"/>
                  <a:gd name="T40" fmla="*/ 474 w 751"/>
                  <a:gd name="T41" fmla="*/ 0 h 1233"/>
                  <a:gd name="T42" fmla="*/ 474 w 751"/>
                  <a:gd name="T43" fmla="*/ 9 h 1233"/>
                  <a:gd name="T44" fmla="*/ 483 w 751"/>
                  <a:gd name="T45" fmla="*/ 18 h 1233"/>
                  <a:gd name="T46" fmla="*/ 492 w 751"/>
                  <a:gd name="T47" fmla="*/ 27 h 1233"/>
                  <a:gd name="T48" fmla="*/ 501 w 751"/>
                  <a:gd name="T49" fmla="*/ 36 h 1233"/>
                  <a:gd name="T50" fmla="*/ 527 w 751"/>
                  <a:gd name="T51" fmla="*/ 45 h 1233"/>
                  <a:gd name="T52" fmla="*/ 536 w 751"/>
                  <a:gd name="T53" fmla="*/ 45 h 1233"/>
                  <a:gd name="T54" fmla="*/ 536 w 751"/>
                  <a:gd name="T55" fmla="*/ 54 h 1233"/>
                  <a:gd name="T56" fmla="*/ 545 w 751"/>
                  <a:gd name="T57" fmla="*/ 63 h 1233"/>
                  <a:gd name="T58" fmla="*/ 554 w 751"/>
                  <a:gd name="T59" fmla="*/ 63 h 1233"/>
                  <a:gd name="T60" fmla="*/ 572 w 751"/>
                  <a:gd name="T61" fmla="*/ 72 h 1233"/>
                  <a:gd name="T62" fmla="*/ 581 w 751"/>
                  <a:gd name="T63" fmla="*/ 72 h 1233"/>
                  <a:gd name="T64" fmla="*/ 590 w 751"/>
                  <a:gd name="T65" fmla="*/ 90 h 1233"/>
                  <a:gd name="T66" fmla="*/ 590 w 751"/>
                  <a:gd name="T67" fmla="*/ 108 h 1233"/>
                  <a:gd name="T68" fmla="*/ 590 w 751"/>
                  <a:gd name="T69" fmla="*/ 125 h 1233"/>
                  <a:gd name="T70" fmla="*/ 581 w 751"/>
                  <a:gd name="T71" fmla="*/ 152 h 1233"/>
                  <a:gd name="T72" fmla="*/ 581 w 751"/>
                  <a:gd name="T73" fmla="*/ 170 h 1233"/>
                  <a:gd name="T74" fmla="*/ 590 w 751"/>
                  <a:gd name="T75" fmla="*/ 170 h 1233"/>
                  <a:gd name="T76" fmla="*/ 608 w 751"/>
                  <a:gd name="T77" fmla="*/ 179 h 1233"/>
                  <a:gd name="T78" fmla="*/ 617 w 751"/>
                  <a:gd name="T79" fmla="*/ 188 h 1233"/>
                  <a:gd name="T80" fmla="*/ 626 w 751"/>
                  <a:gd name="T81" fmla="*/ 206 h 1233"/>
                  <a:gd name="T82" fmla="*/ 626 w 751"/>
                  <a:gd name="T83" fmla="*/ 224 h 1233"/>
                  <a:gd name="T84" fmla="*/ 626 w 751"/>
                  <a:gd name="T85" fmla="*/ 233 h 1233"/>
                  <a:gd name="T86" fmla="*/ 572 w 751"/>
                  <a:gd name="T87" fmla="*/ 286 h 1233"/>
                  <a:gd name="T88" fmla="*/ 483 w 751"/>
                  <a:gd name="T89" fmla="*/ 358 h 1233"/>
                  <a:gd name="T90" fmla="*/ 447 w 751"/>
                  <a:gd name="T91" fmla="*/ 411 h 1233"/>
                  <a:gd name="T92" fmla="*/ 492 w 751"/>
                  <a:gd name="T93" fmla="*/ 492 h 1233"/>
                  <a:gd name="T94" fmla="*/ 501 w 751"/>
                  <a:gd name="T95" fmla="*/ 599 h 1233"/>
                  <a:gd name="T96" fmla="*/ 563 w 751"/>
                  <a:gd name="T97" fmla="*/ 715 h 1233"/>
                  <a:gd name="T98" fmla="*/ 626 w 751"/>
                  <a:gd name="T99" fmla="*/ 858 h 1233"/>
                  <a:gd name="T100" fmla="*/ 706 w 751"/>
                  <a:gd name="T101" fmla="*/ 992 h 1233"/>
                  <a:gd name="T102" fmla="*/ 733 w 751"/>
                  <a:gd name="T103" fmla="*/ 1224 h 1233"/>
                  <a:gd name="T104" fmla="*/ 608 w 751"/>
                  <a:gd name="T105" fmla="*/ 1188 h 1233"/>
                  <a:gd name="T106" fmla="*/ 554 w 751"/>
                  <a:gd name="T107" fmla="*/ 1135 h 1233"/>
                  <a:gd name="T108" fmla="*/ 429 w 751"/>
                  <a:gd name="T109" fmla="*/ 1090 h 1233"/>
                  <a:gd name="T110" fmla="*/ 322 w 751"/>
                  <a:gd name="T111" fmla="*/ 1054 h 1233"/>
                  <a:gd name="T112" fmla="*/ 179 w 751"/>
                  <a:gd name="T113" fmla="*/ 876 h 1233"/>
                  <a:gd name="T114" fmla="*/ 170 w 751"/>
                  <a:gd name="T115" fmla="*/ 813 h 1233"/>
                  <a:gd name="T116" fmla="*/ 27 w 751"/>
                  <a:gd name="T117" fmla="*/ 786 h 123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</a:cxnLst>
                <a:rect l="0" t="0" r="r" b="b"/>
                <a:pathLst>
                  <a:path w="751" h="1233">
                    <a:moveTo>
                      <a:pt x="0" y="768"/>
                    </a:moveTo>
                    <a:lnTo>
                      <a:pt x="0" y="759"/>
                    </a:lnTo>
                    <a:lnTo>
                      <a:pt x="0" y="759"/>
                    </a:lnTo>
                    <a:lnTo>
                      <a:pt x="18" y="759"/>
                    </a:lnTo>
                    <a:lnTo>
                      <a:pt x="36" y="751"/>
                    </a:lnTo>
                    <a:lnTo>
                      <a:pt x="45" y="751"/>
                    </a:lnTo>
                    <a:lnTo>
                      <a:pt x="54" y="733"/>
                    </a:lnTo>
                    <a:lnTo>
                      <a:pt x="54" y="715"/>
                    </a:lnTo>
                    <a:lnTo>
                      <a:pt x="54" y="706"/>
                    </a:lnTo>
                    <a:lnTo>
                      <a:pt x="63" y="706"/>
                    </a:lnTo>
                    <a:lnTo>
                      <a:pt x="63" y="688"/>
                    </a:lnTo>
                    <a:lnTo>
                      <a:pt x="72" y="679"/>
                    </a:lnTo>
                    <a:lnTo>
                      <a:pt x="72" y="661"/>
                    </a:lnTo>
                    <a:lnTo>
                      <a:pt x="63" y="652"/>
                    </a:lnTo>
                    <a:lnTo>
                      <a:pt x="45" y="643"/>
                    </a:lnTo>
                    <a:lnTo>
                      <a:pt x="45" y="617"/>
                    </a:lnTo>
                    <a:lnTo>
                      <a:pt x="45" y="599"/>
                    </a:lnTo>
                    <a:lnTo>
                      <a:pt x="54" y="581"/>
                    </a:lnTo>
                    <a:lnTo>
                      <a:pt x="72" y="581"/>
                    </a:lnTo>
                    <a:lnTo>
                      <a:pt x="72" y="563"/>
                    </a:lnTo>
                    <a:lnTo>
                      <a:pt x="72" y="545"/>
                    </a:lnTo>
                    <a:lnTo>
                      <a:pt x="63" y="536"/>
                    </a:lnTo>
                    <a:lnTo>
                      <a:pt x="45" y="536"/>
                    </a:lnTo>
                    <a:lnTo>
                      <a:pt x="27" y="527"/>
                    </a:lnTo>
                    <a:lnTo>
                      <a:pt x="27" y="509"/>
                    </a:lnTo>
                    <a:lnTo>
                      <a:pt x="27" y="492"/>
                    </a:lnTo>
                    <a:lnTo>
                      <a:pt x="36" y="483"/>
                    </a:lnTo>
                    <a:lnTo>
                      <a:pt x="45" y="465"/>
                    </a:lnTo>
                    <a:lnTo>
                      <a:pt x="45" y="447"/>
                    </a:lnTo>
                    <a:lnTo>
                      <a:pt x="54" y="429"/>
                    </a:lnTo>
                    <a:lnTo>
                      <a:pt x="72" y="429"/>
                    </a:lnTo>
                    <a:lnTo>
                      <a:pt x="90" y="429"/>
                    </a:lnTo>
                    <a:lnTo>
                      <a:pt x="108" y="429"/>
                    </a:lnTo>
                    <a:lnTo>
                      <a:pt x="117" y="420"/>
                    </a:lnTo>
                    <a:lnTo>
                      <a:pt x="125" y="402"/>
                    </a:lnTo>
                    <a:lnTo>
                      <a:pt x="134" y="384"/>
                    </a:lnTo>
                    <a:lnTo>
                      <a:pt x="134" y="376"/>
                    </a:lnTo>
                    <a:lnTo>
                      <a:pt x="134" y="358"/>
                    </a:lnTo>
                    <a:lnTo>
                      <a:pt x="143" y="358"/>
                    </a:lnTo>
                    <a:lnTo>
                      <a:pt x="152" y="358"/>
                    </a:lnTo>
                    <a:lnTo>
                      <a:pt x="170" y="349"/>
                    </a:lnTo>
                    <a:lnTo>
                      <a:pt x="179" y="340"/>
                    </a:lnTo>
                    <a:lnTo>
                      <a:pt x="206" y="349"/>
                    </a:lnTo>
                    <a:lnTo>
                      <a:pt x="206" y="331"/>
                    </a:lnTo>
                    <a:lnTo>
                      <a:pt x="206" y="295"/>
                    </a:lnTo>
                    <a:lnTo>
                      <a:pt x="215" y="277"/>
                    </a:lnTo>
                    <a:lnTo>
                      <a:pt x="224" y="250"/>
                    </a:lnTo>
                    <a:lnTo>
                      <a:pt x="233" y="233"/>
                    </a:lnTo>
                    <a:lnTo>
                      <a:pt x="242" y="224"/>
                    </a:lnTo>
                    <a:lnTo>
                      <a:pt x="268" y="224"/>
                    </a:lnTo>
                    <a:lnTo>
                      <a:pt x="277" y="224"/>
                    </a:lnTo>
                    <a:lnTo>
                      <a:pt x="277" y="233"/>
                    </a:lnTo>
                    <a:lnTo>
                      <a:pt x="286" y="250"/>
                    </a:lnTo>
                    <a:lnTo>
                      <a:pt x="304" y="250"/>
                    </a:lnTo>
                    <a:lnTo>
                      <a:pt x="331" y="250"/>
                    </a:lnTo>
                    <a:lnTo>
                      <a:pt x="331" y="259"/>
                    </a:lnTo>
                    <a:lnTo>
                      <a:pt x="340" y="268"/>
                    </a:lnTo>
                    <a:lnTo>
                      <a:pt x="349" y="268"/>
                    </a:lnTo>
                    <a:lnTo>
                      <a:pt x="358" y="268"/>
                    </a:lnTo>
                    <a:lnTo>
                      <a:pt x="367" y="250"/>
                    </a:lnTo>
                    <a:lnTo>
                      <a:pt x="376" y="233"/>
                    </a:lnTo>
                    <a:lnTo>
                      <a:pt x="376" y="224"/>
                    </a:lnTo>
                    <a:lnTo>
                      <a:pt x="393" y="215"/>
                    </a:lnTo>
                    <a:lnTo>
                      <a:pt x="411" y="206"/>
                    </a:lnTo>
                    <a:lnTo>
                      <a:pt x="420" y="197"/>
                    </a:lnTo>
                    <a:lnTo>
                      <a:pt x="438" y="197"/>
                    </a:lnTo>
                    <a:lnTo>
                      <a:pt x="438" y="179"/>
                    </a:lnTo>
                    <a:lnTo>
                      <a:pt x="438" y="161"/>
                    </a:lnTo>
                    <a:lnTo>
                      <a:pt x="429" y="161"/>
                    </a:lnTo>
                    <a:lnTo>
                      <a:pt x="429" y="134"/>
                    </a:lnTo>
                    <a:lnTo>
                      <a:pt x="429" y="117"/>
                    </a:lnTo>
                    <a:lnTo>
                      <a:pt x="385" y="117"/>
                    </a:lnTo>
                    <a:lnTo>
                      <a:pt x="349" y="108"/>
                    </a:lnTo>
                    <a:lnTo>
                      <a:pt x="322" y="108"/>
                    </a:lnTo>
                    <a:lnTo>
                      <a:pt x="313" y="108"/>
                    </a:lnTo>
                    <a:lnTo>
                      <a:pt x="304" y="108"/>
                    </a:lnTo>
                    <a:lnTo>
                      <a:pt x="304" y="108"/>
                    </a:lnTo>
                    <a:lnTo>
                      <a:pt x="304" y="108"/>
                    </a:lnTo>
                    <a:lnTo>
                      <a:pt x="304" y="108"/>
                    </a:lnTo>
                    <a:lnTo>
                      <a:pt x="304" y="108"/>
                    </a:lnTo>
                    <a:lnTo>
                      <a:pt x="304" y="108"/>
                    </a:lnTo>
                    <a:lnTo>
                      <a:pt x="304" y="108"/>
                    </a:lnTo>
                    <a:lnTo>
                      <a:pt x="304" y="99"/>
                    </a:lnTo>
                    <a:lnTo>
                      <a:pt x="304" y="99"/>
                    </a:lnTo>
                    <a:lnTo>
                      <a:pt x="304" y="99"/>
                    </a:lnTo>
                    <a:lnTo>
                      <a:pt x="304" y="99"/>
                    </a:lnTo>
                    <a:lnTo>
                      <a:pt x="304" y="99"/>
                    </a:lnTo>
                    <a:lnTo>
                      <a:pt x="304" y="99"/>
                    </a:lnTo>
                    <a:lnTo>
                      <a:pt x="304" y="99"/>
                    </a:lnTo>
                    <a:lnTo>
                      <a:pt x="304" y="99"/>
                    </a:lnTo>
                    <a:lnTo>
                      <a:pt x="304" y="99"/>
                    </a:lnTo>
                    <a:lnTo>
                      <a:pt x="304" y="90"/>
                    </a:lnTo>
                    <a:lnTo>
                      <a:pt x="304" y="90"/>
                    </a:lnTo>
                    <a:lnTo>
                      <a:pt x="304" y="90"/>
                    </a:lnTo>
                    <a:lnTo>
                      <a:pt x="304" y="90"/>
                    </a:lnTo>
                    <a:lnTo>
                      <a:pt x="304" y="90"/>
                    </a:lnTo>
                    <a:lnTo>
                      <a:pt x="313" y="90"/>
                    </a:lnTo>
                    <a:lnTo>
                      <a:pt x="313" y="90"/>
                    </a:lnTo>
                    <a:lnTo>
                      <a:pt x="313" y="90"/>
                    </a:lnTo>
                    <a:lnTo>
                      <a:pt x="313" y="90"/>
                    </a:lnTo>
                    <a:lnTo>
                      <a:pt x="313" y="90"/>
                    </a:lnTo>
                    <a:lnTo>
                      <a:pt x="313" y="90"/>
                    </a:lnTo>
                    <a:lnTo>
                      <a:pt x="322" y="90"/>
                    </a:lnTo>
                    <a:lnTo>
                      <a:pt x="322" y="90"/>
                    </a:lnTo>
                    <a:lnTo>
                      <a:pt x="322" y="90"/>
                    </a:lnTo>
                    <a:lnTo>
                      <a:pt x="322" y="90"/>
                    </a:lnTo>
                    <a:lnTo>
                      <a:pt x="322" y="81"/>
                    </a:lnTo>
                    <a:lnTo>
                      <a:pt x="322" y="81"/>
                    </a:lnTo>
                    <a:lnTo>
                      <a:pt x="331" y="81"/>
                    </a:lnTo>
                    <a:lnTo>
                      <a:pt x="331" y="81"/>
                    </a:lnTo>
                    <a:lnTo>
                      <a:pt x="331" y="81"/>
                    </a:lnTo>
                    <a:lnTo>
                      <a:pt x="331" y="81"/>
                    </a:lnTo>
                    <a:lnTo>
                      <a:pt x="331" y="81"/>
                    </a:lnTo>
                    <a:lnTo>
                      <a:pt x="331" y="81"/>
                    </a:lnTo>
                    <a:lnTo>
                      <a:pt x="331" y="81"/>
                    </a:lnTo>
                    <a:lnTo>
                      <a:pt x="340" y="81"/>
                    </a:lnTo>
                    <a:lnTo>
                      <a:pt x="340" y="81"/>
                    </a:lnTo>
                    <a:lnTo>
                      <a:pt x="340" y="81"/>
                    </a:lnTo>
                    <a:lnTo>
                      <a:pt x="340" y="81"/>
                    </a:lnTo>
                    <a:lnTo>
                      <a:pt x="349" y="81"/>
                    </a:lnTo>
                    <a:lnTo>
                      <a:pt x="349" y="81"/>
                    </a:lnTo>
                    <a:lnTo>
                      <a:pt x="349" y="81"/>
                    </a:lnTo>
                    <a:lnTo>
                      <a:pt x="349" y="81"/>
                    </a:lnTo>
                    <a:lnTo>
                      <a:pt x="358" y="81"/>
                    </a:lnTo>
                    <a:lnTo>
                      <a:pt x="358" y="81"/>
                    </a:lnTo>
                    <a:lnTo>
                      <a:pt x="358" y="81"/>
                    </a:lnTo>
                    <a:lnTo>
                      <a:pt x="367" y="81"/>
                    </a:lnTo>
                    <a:lnTo>
                      <a:pt x="367" y="81"/>
                    </a:lnTo>
                    <a:lnTo>
                      <a:pt x="367" y="81"/>
                    </a:lnTo>
                    <a:lnTo>
                      <a:pt x="376" y="81"/>
                    </a:lnTo>
                    <a:lnTo>
                      <a:pt x="376" y="81"/>
                    </a:lnTo>
                    <a:lnTo>
                      <a:pt x="376" y="81"/>
                    </a:lnTo>
                    <a:lnTo>
                      <a:pt x="385" y="81"/>
                    </a:lnTo>
                    <a:lnTo>
                      <a:pt x="385" y="72"/>
                    </a:lnTo>
                    <a:lnTo>
                      <a:pt x="385" y="72"/>
                    </a:lnTo>
                    <a:lnTo>
                      <a:pt x="385" y="72"/>
                    </a:lnTo>
                    <a:lnTo>
                      <a:pt x="393" y="72"/>
                    </a:lnTo>
                    <a:lnTo>
                      <a:pt x="393" y="72"/>
                    </a:lnTo>
                    <a:lnTo>
                      <a:pt x="393" y="72"/>
                    </a:lnTo>
                    <a:lnTo>
                      <a:pt x="393" y="72"/>
                    </a:lnTo>
                    <a:lnTo>
                      <a:pt x="402" y="63"/>
                    </a:lnTo>
                    <a:lnTo>
                      <a:pt x="402" y="63"/>
                    </a:lnTo>
                    <a:lnTo>
                      <a:pt x="402" y="63"/>
                    </a:lnTo>
                    <a:lnTo>
                      <a:pt x="402" y="63"/>
                    </a:lnTo>
                    <a:lnTo>
                      <a:pt x="402" y="63"/>
                    </a:lnTo>
                    <a:lnTo>
                      <a:pt x="402" y="63"/>
                    </a:lnTo>
                    <a:lnTo>
                      <a:pt x="411" y="54"/>
                    </a:lnTo>
                    <a:lnTo>
                      <a:pt x="411" y="54"/>
                    </a:lnTo>
                    <a:lnTo>
                      <a:pt x="411" y="54"/>
                    </a:lnTo>
                    <a:lnTo>
                      <a:pt x="411" y="54"/>
                    </a:lnTo>
                    <a:lnTo>
                      <a:pt x="411" y="45"/>
                    </a:lnTo>
                    <a:lnTo>
                      <a:pt x="411" y="45"/>
                    </a:lnTo>
                    <a:lnTo>
                      <a:pt x="411" y="36"/>
                    </a:lnTo>
                    <a:lnTo>
                      <a:pt x="411" y="36"/>
                    </a:lnTo>
                    <a:lnTo>
                      <a:pt x="411" y="36"/>
                    </a:lnTo>
                    <a:lnTo>
                      <a:pt x="411" y="27"/>
                    </a:lnTo>
                    <a:lnTo>
                      <a:pt x="411" y="27"/>
                    </a:lnTo>
                    <a:lnTo>
                      <a:pt x="411" y="27"/>
                    </a:lnTo>
                    <a:lnTo>
                      <a:pt x="411" y="27"/>
                    </a:lnTo>
                    <a:lnTo>
                      <a:pt x="411" y="18"/>
                    </a:lnTo>
                    <a:lnTo>
                      <a:pt x="411" y="18"/>
                    </a:lnTo>
                    <a:lnTo>
                      <a:pt x="411" y="18"/>
                    </a:lnTo>
                    <a:lnTo>
                      <a:pt x="420" y="18"/>
                    </a:lnTo>
                    <a:lnTo>
                      <a:pt x="420" y="9"/>
                    </a:lnTo>
                    <a:lnTo>
                      <a:pt x="420" y="9"/>
                    </a:lnTo>
                    <a:lnTo>
                      <a:pt x="420" y="9"/>
                    </a:lnTo>
                    <a:lnTo>
                      <a:pt x="420" y="9"/>
                    </a:lnTo>
                    <a:lnTo>
                      <a:pt x="420" y="9"/>
                    </a:lnTo>
                    <a:lnTo>
                      <a:pt x="420" y="9"/>
                    </a:lnTo>
                    <a:lnTo>
                      <a:pt x="429" y="9"/>
                    </a:lnTo>
                    <a:lnTo>
                      <a:pt x="429" y="9"/>
                    </a:lnTo>
                    <a:lnTo>
                      <a:pt x="429" y="0"/>
                    </a:lnTo>
                    <a:lnTo>
                      <a:pt x="429" y="0"/>
                    </a:lnTo>
                    <a:lnTo>
                      <a:pt x="438" y="0"/>
                    </a:lnTo>
                    <a:lnTo>
                      <a:pt x="438" y="0"/>
                    </a:lnTo>
                    <a:lnTo>
                      <a:pt x="438" y="0"/>
                    </a:lnTo>
                    <a:lnTo>
                      <a:pt x="447" y="0"/>
                    </a:lnTo>
                    <a:lnTo>
                      <a:pt x="447" y="0"/>
                    </a:lnTo>
                    <a:lnTo>
                      <a:pt x="447" y="0"/>
                    </a:lnTo>
                    <a:lnTo>
                      <a:pt x="456" y="0"/>
                    </a:lnTo>
                    <a:lnTo>
                      <a:pt x="456" y="0"/>
                    </a:lnTo>
                    <a:lnTo>
                      <a:pt x="456" y="0"/>
                    </a:lnTo>
                    <a:lnTo>
                      <a:pt x="456" y="0"/>
                    </a:lnTo>
                    <a:lnTo>
                      <a:pt x="456" y="0"/>
                    </a:lnTo>
                    <a:lnTo>
                      <a:pt x="465" y="0"/>
                    </a:lnTo>
                    <a:lnTo>
                      <a:pt x="465" y="0"/>
                    </a:lnTo>
                    <a:lnTo>
                      <a:pt x="465" y="0"/>
                    </a:lnTo>
                    <a:lnTo>
                      <a:pt x="465" y="0"/>
                    </a:lnTo>
                    <a:lnTo>
                      <a:pt x="474" y="0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83" y="9"/>
                    </a:lnTo>
                    <a:lnTo>
                      <a:pt x="483" y="9"/>
                    </a:lnTo>
                    <a:lnTo>
                      <a:pt x="483" y="9"/>
                    </a:lnTo>
                    <a:lnTo>
                      <a:pt x="483" y="18"/>
                    </a:lnTo>
                    <a:lnTo>
                      <a:pt x="483" y="18"/>
                    </a:lnTo>
                    <a:lnTo>
                      <a:pt x="483" y="18"/>
                    </a:lnTo>
                    <a:lnTo>
                      <a:pt x="483" y="18"/>
                    </a:lnTo>
                    <a:lnTo>
                      <a:pt x="483" y="18"/>
                    </a:lnTo>
                    <a:lnTo>
                      <a:pt x="483" y="18"/>
                    </a:lnTo>
                    <a:lnTo>
                      <a:pt x="483" y="18"/>
                    </a:lnTo>
                    <a:lnTo>
                      <a:pt x="483" y="27"/>
                    </a:lnTo>
                    <a:lnTo>
                      <a:pt x="492" y="27"/>
                    </a:lnTo>
                    <a:lnTo>
                      <a:pt x="492" y="27"/>
                    </a:lnTo>
                    <a:lnTo>
                      <a:pt x="492" y="27"/>
                    </a:lnTo>
                    <a:lnTo>
                      <a:pt x="492" y="27"/>
                    </a:lnTo>
                    <a:lnTo>
                      <a:pt x="492" y="27"/>
                    </a:lnTo>
                    <a:lnTo>
                      <a:pt x="492" y="27"/>
                    </a:lnTo>
                    <a:lnTo>
                      <a:pt x="492" y="36"/>
                    </a:lnTo>
                    <a:lnTo>
                      <a:pt x="492" y="36"/>
                    </a:lnTo>
                    <a:lnTo>
                      <a:pt x="501" y="36"/>
                    </a:lnTo>
                    <a:lnTo>
                      <a:pt x="501" y="36"/>
                    </a:lnTo>
                    <a:lnTo>
                      <a:pt x="501" y="36"/>
                    </a:lnTo>
                    <a:lnTo>
                      <a:pt x="501" y="36"/>
                    </a:lnTo>
                    <a:lnTo>
                      <a:pt x="510" y="45"/>
                    </a:lnTo>
                    <a:lnTo>
                      <a:pt x="510" y="45"/>
                    </a:lnTo>
                    <a:lnTo>
                      <a:pt x="510" y="45"/>
                    </a:lnTo>
                    <a:lnTo>
                      <a:pt x="510" y="45"/>
                    </a:lnTo>
                    <a:lnTo>
                      <a:pt x="518" y="45"/>
                    </a:lnTo>
                    <a:lnTo>
                      <a:pt x="518" y="45"/>
                    </a:lnTo>
                    <a:lnTo>
                      <a:pt x="518" y="45"/>
                    </a:lnTo>
                    <a:lnTo>
                      <a:pt x="518" y="45"/>
                    </a:lnTo>
                    <a:lnTo>
                      <a:pt x="527" y="45"/>
                    </a:lnTo>
                    <a:lnTo>
                      <a:pt x="527" y="45"/>
                    </a:lnTo>
                    <a:lnTo>
                      <a:pt x="527" y="45"/>
                    </a:lnTo>
                    <a:lnTo>
                      <a:pt x="527" y="45"/>
                    </a:lnTo>
                    <a:lnTo>
                      <a:pt x="527" y="45"/>
                    </a:lnTo>
                    <a:lnTo>
                      <a:pt x="527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54"/>
                    </a:lnTo>
                    <a:lnTo>
                      <a:pt x="536" y="54"/>
                    </a:lnTo>
                    <a:lnTo>
                      <a:pt x="536" y="54"/>
                    </a:lnTo>
                    <a:lnTo>
                      <a:pt x="536" y="54"/>
                    </a:lnTo>
                    <a:lnTo>
                      <a:pt x="536" y="54"/>
                    </a:lnTo>
                    <a:lnTo>
                      <a:pt x="536" y="54"/>
                    </a:lnTo>
                    <a:lnTo>
                      <a:pt x="536" y="54"/>
                    </a:lnTo>
                    <a:lnTo>
                      <a:pt x="545" y="54"/>
                    </a:lnTo>
                    <a:lnTo>
                      <a:pt x="545" y="63"/>
                    </a:lnTo>
                    <a:lnTo>
                      <a:pt x="545" y="63"/>
                    </a:lnTo>
                    <a:lnTo>
                      <a:pt x="545" y="63"/>
                    </a:lnTo>
                    <a:lnTo>
                      <a:pt x="545" y="63"/>
                    </a:lnTo>
                    <a:lnTo>
                      <a:pt x="545" y="63"/>
                    </a:lnTo>
                    <a:lnTo>
                      <a:pt x="545" y="63"/>
                    </a:lnTo>
                    <a:lnTo>
                      <a:pt x="545" y="63"/>
                    </a:lnTo>
                    <a:lnTo>
                      <a:pt x="545" y="63"/>
                    </a:lnTo>
                    <a:lnTo>
                      <a:pt x="545" y="63"/>
                    </a:lnTo>
                    <a:lnTo>
                      <a:pt x="545" y="63"/>
                    </a:lnTo>
                    <a:lnTo>
                      <a:pt x="545" y="63"/>
                    </a:lnTo>
                    <a:lnTo>
                      <a:pt x="554" y="63"/>
                    </a:lnTo>
                    <a:lnTo>
                      <a:pt x="554" y="63"/>
                    </a:lnTo>
                    <a:lnTo>
                      <a:pt x="554" y="63"/>
                    </a:lnTo>
                    <a:lnTo>
                      <a:pt x="554" y="63"/>
                    </a:lnTo>
                    <a:lnTo>
                      <a:pt x="563" y="72"/>
                    </a:lnTo>
                    <a:lnTo>
                      <a:pt x="563" y="72"/>
                    </a:lnTo>
                    <a:lnTo>
                      <a:pt x="563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63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81" y="72"/>
                    </a:lnTo>
                    <a:lnTo>
                      <a:pt x="581" y="72"/>
                    </a:lnTo>
                    <a:lnTo>
                      <a:pt x="581" y="81"/>
                    </a:lnTo>
                    <a:lnTo>
                      <a:pt x="581" y="81"/>
                    </a:lnTo>
                    <a:lnTo>
                      <a:pt x="581" y="81"/>
                    </a:lnTo>
                    <a:lnTo>
                      <a:pt x="590" y="81"/>
                    </a:lnTo>
                    <a:lnTo>
                      <a:pt x="590" y="81"/>
                    </a:lnTo>
                    <a:lnTo>
                      <a:pt x="590" y="90"/>
                    </a:lnTo>
                    <a:lnTo>
                      <a:pt x="590" y="90"/>
                    </a:lnTo>
                    <a:lnTo>
                      <a:pt x="590" y="90"/>
                    </a:lnTo>
                    <a:lnTo>
                      <a:pt x="590" y="90"/>
                    </a:lnTo>
                    <a:lnTo>
                      <a:pt x="590" y="99"/>
                    </a:lnTo>
                    <a:lnTo>
                      <a:pt x="590" y="99"/>
                    </a:lnTo>
                    <a:lnTo>
                      <a:pt x="590" y="99"/>
                    </a:lnTo>
                    <a:lnTo>
                      <a:pt x="590" y="99"/>
                    </a:lnTo>
                    <a:lnTo>
                      <a:pt x="590" y="108"/>
                    </a:lnTo>
                    <a:lnTo>
                      <a:pt x="590" y="108"/>
                    </a:lnTo>
                    <a:lnTo>
                      <a:pt x="590" y="108"/>
                    </a:lnTo>
                    <a:lnTo>
                      <a:pt x="590" y="108"/>
                    </a:lnTo>
                    <a:lnTo>
                      <a:pt x="590" y="108"/>
                    </a:lnTo>
                    <a:lnTo>
                      <a:pt x="590" y="117"/>
                    </a:lnTo>
                    <a:lnTo>
                      <a:pt x="590" y="117"/>
                    </a:lnTo>
                    <a:lnTo>
                      <a:pt x="590" y="117"/>
                    </a:lnTo>
                    <a:lnTo>
                      <a:pt x="590" y="117"/>
                    </a:lnTo>
                    <a:lnTo>
                      <a:pt x="590" y="125"/>
                    </a:lnTo>
                    <a:lnTo>
                      <a:pt x="590" y="125"/>
                    </a:lnTo>
                    <a:lnTo>
                      <a:pt x="590" y="125"/>
                    </a:lnTo>
                    <a:lnTo>
                      <a:pt x="590" y="125"/>
                    </a:lnTo>
                    <a:lnTo>
                      <a:pt x="590" y="125"/>
                    </a:lnTo>
                    <a:lnTo>
                      <a:pt x="590" y="134"/>
                    </a:lnTo>
                    <a:lnTo>
                      <a:pt x="590" y="134"/>
                    </a:lnTo>
                    <a:lnTo>
                      <a:pt x="590" y="134"/>
                    </a:lnTo>
                    <a:lnTo>
                      <a:pt x="590" y="134"/>
                    </a:lnTo>
                    <a:lnTo>
                      <a:pt x="590" y="143"/>
                    </a:lnTo>
                    <a:lnTo>
                      <a:pt x="590" y="143"/>
                    </a:lnTo>
                    <a:lnTo>
                      <a:pt x="581" y="143"/>
                    </a:lnTo>
                    <a:lnTo>
                      <a:pt x="581" y="152"/>
                    </a:lnTo>
                    <a:lnTo>
                      <a:pt x="581" y="152"/>
                    </a:lnTo>
                    <a:lnTo>
                      <a:pt x="581" y="152"/>
                    </a:lnTo>
                    <a:lnTo>
                      <a:pt x="581" y="152"/>
                    </a:lnTo>
                    <a:lnTo>
                      <a:pt x="581" y="161"/>
                    </a:lnTo>
                    <a:lnTo>
                      <a:pt x="581" y="161"/>
                    </a:lnTo>
                    <a:lnTo>
                      <a:pt x="581" y="161"/>
                    </a:lnTo>
                    <a:lnTo>
                      <a:pt x="581" y="170"/>
                    </a:lnTo>
                    <a:lnTo>
                      <a:pt x="581" y="170"/>
                    </a:lnTo>
                    <a:lnTo>
                      <a:pt x="581" y="170"/>
                    </a:lnTo>
                    <a:lnTo>
                      <a:pt x="581" y="170"/>
                    </a:lnTo>
                    <a:lnTo>
                      <a:pt x="590" y="170"/>
                    </a:lnTo>
                    <a:lnTo>
                      <a:pt x="590" y="170"/>
                    </a:lnTo>
                    <a:lnTo>
                      <a:pt x="590" y="170"/>
                    </a:lnTo>
                    <a:lnTo>
                      <a:pt x="590" y="170"/>
                    </a:lnTo>
                    <a:lnTo>
                      <a:pt x="590" y="170"/>
                    </a:lnTo>
                    <a:lnTo>
                      <a:pt x="590" y="170"/>
                    </a:lnTo>
                    <a:lnTo>
                      <a:pt x="590" y="170"/>
                    </a:lnTo>
                    <a:lnTo>
                      <a:pt x="590" y="170"/>
                    </a:lnTo>
                    <a:lnTo>
                      <a:pt x="599" y="170"/>
                    </a:lnTo>
                    <a:lnTo>
                      <a:pt x="599" y="170"/>
                    </a:lnTo>
                    <a:lnTo>
                      <a:pt x="599" y="170"/>
                    </a:lnTo>
                    <a:lnTo>
                      <a:pt x="599" y="170"/>
                    </a:lnTo>
                    <a:lnTo>
                      <a:pt x="608" y="170"/>
                    </a:lnTo>
                    <a:lnTo>
                      <a:pt x="608" y="179"/>
                    </a:lnTo>
                    <a:lnTo>
                      <a:pt x="608" y="179"/>
                    </a:lnTo>
                    <a:lnTo>
                      <a:pt x="608" y="179"/>
                    </a:lnTo>
                    <a:lnTo>
                      <a:pt x="608" y="179"/>
                    </a:lnTo>
                    <a:lnTo>
                      <a:pt x="617" y="179"/>
                    </a:lnTo>
                    <a:lnTo>
                      <a:pt x="617" y="179"/>
                    </a:lnTo>
                    <a:lnTo>
                      <a:pt x="617" y="179"/>
                    </a:lnTo>
                    <a:lnTo>
                      <a:pt x="617" y="179"/>
                    </a:lnTo>
                    <a:lnTo>
                      <a:pt x="617" y="179"/>
                    </a:lnTo>
                    <a:lnTo>
                      <a:pt x="617" y="179"/>
                    </a:lnTo>
                    <a:lnTo>
                      <a:pt x="617" y="188"/>
                    </a:lnTo>
                    <a:lnTo>
                      <a:pt x="617" y="188"/>
                    </a:lnTo>
                    <a:lnTo>
                      <a:pt x="617" y="188"/>
                    </a:lnTo>
                    <a:lnTo>
                      <a:pt x="617" y="188"/>
                    </a:lnTo>
                    <a:lnTo>
                      <a:pt x="617" y="197"/>
                    </a:lnTo>
                    <a:lnTo>
                      <a:pt x="617" y="197"/>
                    </a:lnTo>
                    <a:lnTo>
                      <a:pt x="617" y="197"/>
                    </a:lnTo>
                    <a:lnTo>
                      <a:pt x="617" y="197"/>
                    </a:lnTo>
                    <a:lnTo>
                      <a:pt x="617" y="206"/>
                    </a:lnTo>
                    <a:lnTo>
                      <a:pt x="626" y="206"/>
                    </a:lnTo>
                    <a:lnTo>
                      <a:pt x="626" y="206"/>
                    </a:lnTo>
                    <a:lnTo>
                      <a:pt x="626" y="206"/>
                    </a:lnTo>
                    <a:lnTo>
                      <a:pt x="626" y="215"/>
                    </a:lnTo>
                    <a:lnTo>
                      <a:pt x="626" y="215"/>
                    </a:lnTo>
                    <a:lnTo>
                      <a:pt x="626" y="215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33"/>
                    </a:lnTo>
                    <a:lnTo>
                      <a:pt x="626" y="233"/>
                    </a:lnTo>
                    <a:lnTo>
                      <a:pt x="626" y="233"/>
                    </a:lnTo>
                    <a:lnTo>
                      <a:pt x="617" y="242"/>
                    </a:lnTo>
                    <a:lnTo>
                      <a:pt x="608" y="242"/>
                    </a:lnTo>
                    <a:lnTo>
                      <a:pt x="608" y="250"/>
                    </a:lnTo>
                    <a:lnTo>
                      <a:pt x="590" y="250"/>
                    </a:lnTo>
                    <a:lnTo>
                      <a:pt x="572" y="259"/>
                    </a:lnTo>
                    <a:lnTo>
                      <a:pt x="572" y="277"/>
                    </a:lnTo>
                    <a:lnTo>
                      <a:pt x="572" y="286"/>
                    </a:lnTo>
                    <a:lnTo>
                      <a:pt x="572" y="313"/>
                    </a:lnTo>
                    <a:lnTo>
                      <a:pt x="572" y="331"/>
                    </a:lnTo>
                    <a:lnTo>
                      <a:pt x="554" y="358"/>
                    </a:lnTo>
                    <a:lnTo>
                      <a:pt x="545" y="367"/>
                    </a:lnTo>
                    <a:lnTo>
                      <a:pt x="527" y="367"/>
                    </a:lnTo>
                    <a:lnTo>
                      <a:pt x="510" y="367"/>
                    </a:lnTo>
                    <a:lnTo>
                      <a:pt x="510" y="349"/>
                    </a:lnTo>
                    <a:lnTo>
                      <a:pt x="492" y="349"/>
                    </a:lnTo>
                    <a:lnTo>
                      <a:pt x="483" y="358"/>
                    </a:lnTo>
                    <a:lnTo>
                      <a:pt x="474" y="367"/>
                    </a:lnTo>
                    <a:lnTo>
                      <a:pt x="456" y="367"/>
                    </a:lnTo>
                    <a:lnTo>
                      <a:pt x="438" y="367"/>
                    </a:lnTo>
                    <a:lnTo>
                      <a:pt x="429" y="367"/>
                    </a:lnTo>
                    <a:lnTo>
                      <a:pt x="429" y="384"/>
                    </a:lnTo>
                    <a:lnTo>
                      <a:pt x="438" y="384"/>
                    </a:lnTo>
                    <a:lnTo>
                      <a:pt x="447" y="393"/>
                    </a:lnTo>
                    <a:lnTo>
                      <a:pt x="438" y="402"/>
                    </a:lnTo>
                    <a:lnTo>
                      <a:pt x="447" y="411"/>
                    </a:lnTo>
                    <a:lnTo>
                      <a:pt x="447" y="420"/>
                    </a:lnTo>
                    <a:lnTo>
                      <a:pt x="447" y="429"/>
                    </a:lnTo>
                    <a:lnTo>
                      <a:pt x="456" y="438"/>
                    </a:lnTo>
                    <a:lnTo>
                      <a:pt x="465" y="438"/>
                    </a:lnTo>
                    <a:lnTo>
                      <a:pt x="474" y="438"/>
                    </a:lnTo>
                    <a:lnTo>
                      <a:pt x="465" y="456"/>
                    </a:lnTo>
                    <a:lnTo>
                      <a:pt x="465" y="474"/>
                    </a:lnTo>
                    <a:lnTo>
                      <a:pt x="483" y="483"/>
                    </a:lnTo>
                    <a:lnTo>
                      <a:pt x="492" y="492"/>
                    </a:lnTo>
                    <a:lnTo>
                      <a:pt x="501" y="492"/>
                    </a:lnTo>
                    <a:lnTo>
                      <a:pt x="510" y="501"/>
                    </a:lnTo>
                    <a:lnTo>
                      <a:pt x="527" y="518"/>
                    </a:lnTo>
                    <a:lnTo>
                      <a:pt x="527" y="536"/>
                    </a:lnTo>
                    <a:lnTo>
                      <a:pt x="527" y="563"/>
                    </a:lnTo>
                    <a:lnTo>
                      <a:pt x="518" y="581"/>
                    </a:lnTo>
                    <a:lnTo>
                      <a:pt x="510" y="590"/>
                    </a:lnTo>
                    <a:lnTo>
                      <a:pt x="510" y="599"/>
                    </a:lnTo>
                    <a:lnTo>
                      <a:pt x="501" y="599"/>
                    </a:lnTo>
                    <a:lnTo>
                      <a:pt x="492" y="608"/>
                    </a:lnTo>
                    <a:lnTo>
                      <a:pt x="483" y="634"/>
                    </a:lnTo>
                    <a:lnTo>
                      <a:pt x="483" y="661"/>
                    </a:lnTo>
                    <a:lnTo>
                      <a:pt x="483" y="679"/>
                    </a:lnTo>
                    <a:lnTo>
                      <a:pt x="501" y="688"/>
                    </a:lnTo>
                    <a:lnTo>
                      <a:pt x="518" y="697"/>
                    </a:lnTo>
                    <a:lnTo>
                      <a:pt x="527" y="706"/>
                    </a:lnTo>
                    <a:lnTo>
                      <a:pt x="545" y="706"/>
                    </a:lnTo>
                    <a:lnTo>
                      <a:pt x="563" y="715"/>
                    </a:lnTo>
                    <a:lnTo>
                      <a:pt x="572" y="724"/>
                    </a:lnTo>
                    <a:lnTo>
                      <a:pt x="572" y="751"/>
                    </a:lnTo>
                    <a:lnTo>
                      <a:pt x="572" y="759"/>
                    </a:lnTo>
                    <a:lnTo>
                      <a:pt x="590" y="777"/>
                    </a:lnTo>
                    <a:lnTo>
                      <a:pt x="608" y="786"/>
                    </a:lnTo>
                    <a:lnTo>
                      <a:pt x="617" y="804"/>
                    </a:lnTo>
                    <a:lnTo>
                      <a:pt x="617" y="822"/>
                    </a:lnTo>
                    <a:lnTo>
                      <a:pt x="617" y="840"/>
                    </a:lnTo>
                    <a:lnTo>
                      <a:pt x="626" y="858"/>
                    </a:lnTo>
                    <a:lnTo>
                      <a:pt x="617" y="867"/>
                    </a:lnTo>
                    <a:lnTo>
                      <a:pt x="599" y="893"/>
                    </a:lnTo>
                    <a:lnTo>
                      <a:pt x="599" y="911"/>
                    </a:lnTo>
                    <a:lnTo>
                      <a:pt x="617" y="938"/>
                    </a:lnTo>
                    <a:lnTo>
                      <a:pt x="635" y="956"/>
                    </a:lnTo>
                    <a:lnTo>
                      <a:pt x="661" y="965"/>
                    </a:lnTo>
                    <a:lnTo>
                      <a:pt x="688" y="965"/>
                    </a:lnTo>
                    <a:lnTo>
                      <a:pt x="706" y="965"/>
                    </a:lnTo>
                    <a:lnTo>
                      <a:pt x="706" y="992"/>
                    </a:lnTo>
                    <a:lnTo>
                      <a:pt x="706" y="1018"/>
                    </a:lnTo>
                    <a:lnTo>
                      <a:pt x="697" y="1117"/>
                    </a:lnTo>
                    <a:lnTo>
                      <a:pt x="706" y="1135"/>
                    </a:lnTo>
                    <a:lnTo>
                      <a:pt x="724" y="1143"/>
                    </a:lnTo>
                    <a:lnTo>
                      <a:pt x="742" y="1161"/>
                    </a:lnTo>
                    <a:lnTo>
                      <a:pt x="751" y="1179"/>
                    </a:lnTo>
                    <a:lnTo>
                      <a:pt x="742" y="1197"/>
                    </a:lnTo>
                    <a:lnTo>
                      <a:pt x="742" y="1215"/>
                    </a:lnTo>
                    <a:lnTo>
                      <a:pt x="733" y="1224"/>
                    </a:lnTo>
                    <a:lnTo>
                      <a:pt x="706" y="1224"/>
                    </a:lnTo>
                    <a:lnTo>
                      <a:pt x="688" y="1224"/>
                    </a:lnTo>
                    <a:lnTo>
                      <a:pt x="688" y="1224"/>
                    </a:lnTo>
                    <a:lnTo>
                      <a:pt x="679" y="1233"/>
                    </a:lnTo>
                    <a:lnTo>
                      <a:pt x="661" y="1233"/>
                    </a:lnTo>
                    <a:lnTo>
                      <a:pt x="661" y="1224"/>
                    </a:lnTo>
                    <a:lnTo>
                      <a:pt x="644" y="1197"/>
                    </a:lnTo>
                    <a:lnTo>
                      <a:pt x="626" y="1188"/>
                    </a:lnTo>
                    <a:lnTo>
                      <a:pt x="608" y="1188"/>
                    </a:lnTo>
                    <a:lnTo>
                      <a:pt x="590" y="1179"/>
                    </a:lnTo>
                    <a:lnTo>
                      <a:pt x="572" y="1170"/>
                    </a:lnTo>
                    <a:lnTo>
                      <a:pt x="563" y="1161"/>
                    </a:lnTo>
                    <a:lnTo>
                      <a:pt x="572" y="1152"/>
                    </a:lnTo>
                    <a:lnTo>
                      <a:pt x="590" y="1152"/>
                    </a:lnTo>
                    <a:lnTo>
                      <a:pt x="590" y="1143"/>
                    </a:lnTo>
                    <a:lnTo>
                      <a:pt x="581" y="1143"/>
                    </a:lnTo>
                    <a:lnTo>
                      <a:pt x="563" y="1143"/>
                    </a:lnTo>
                    <a:lnTo>
                      <a:pt x="554" y="1135"/>
                    </a:lnTo>
                    <a:lnTo>
                      <a:pt x="536" y="1143"/>
                    </a:lnTo>
                    <a:lnTo>
                      <a:pt x="510" y="1152"/>
                    </a:lnTo>
                    <a:lnTo>
                      <a:pt x="492" y="1152"/>
                    </a:lnTo>
                    <a:lnTo>
                      <a:pt x="474" y="1143"/>
                    </a:lnTo>
                    <a:lnTo>
                      <a:pt x="465" y="1126"/>
                    </a:lnTo>
                    <a:lnTo>
                      <a:pt x="465" y="1108"/>
                    </a:lnTo>
                    <a:lnTo>
                      <a:pt x="456" y="1099"/>
                    </a:lnTo>
                    <a:lnTo>
                      <a:pt x="447" y="1099"/>
                    </a:lnTo>
                    <a:lnTo>
                      <a:pt x="429" y="1090"/>
                    </a:lnTo>
                    <a:lnTo>
                      <a:pt x="429" y="1072"/>
                    </a:lnTo>
                    <a:lnTo>
                      <a:pt x="429" y="1063"/>
                    </a:lnTo>
                    <a:lnTo>
                      <a:pt x="420" y="1063"/>
                    </a:lnTo>
                    <a:lnTo>
                      <a:pt x="393" y="1063"/>
                    </a:lnTo>
                    <a:lnTo>
                      <a:pt x="385" y="1081"/>
                    </a:lnTo>
                    <a:lnTo>
                      <a:pt x="367" y="1081"/>
                    </a:lnTo>
                    <a:lnTo>
                      <a:pt x="340" y="1081"/>
                    </a:lnTo>
                    <a:lnTo>
                      <a:pt x="331" y="1072"/>
                    </a:lnTo>
                    <a:lnTo>
                      <a:pt x="322" y="1054"/>
                    </a:lnTo>
                    <a:lnTo>
                      <a:pt x="304" y="1027"/>
                    </a:lnTo>
                    <a:lnTo>
                      <a:pt x="277" y="1010"/>
                    </a:lnTo>
                    <a:lnTo>
                      <a:pt x="251" y="1001"/>
                    </a:lnTo>
                    <a:lnTo>
                      <a:pt x="233" y="992"/>
                    </a:lnTo>
                    <a:lnTo>
                      <a:pt x="206" y="956"/>
                    </a:lnTo>
                    <a:lnTo>
                      <a:pt x="197" y="929"/>
                    </a:lnTo>
                    <a:lnTo>
                      <a:pt x="170" y="911"/>
                    </a:lnTo>
                    <a:lnTo>
                      <a:pt x="170" y="893"/>
                    </a:lnTo>
                    <a:lnTo>
                      <a:pt x="179" y="876"/>
                    </a:lnTo>
                    <a:lnTo>
                      <a:pt x="179" y="858"/>
                    </a:lnTo>
                    <a:lnTo>
                      <a:pt x="188" y="849"/>
                    </a:lnTo>
                    <a:lnTo>
                      <a:pt x="197" y="849"/>
                    </a:lnTo>
                    <a:lnTo>
                      <a:pt x="206" y="849"/>
                    </a:lnTo>
                    <a:lnTo>
                      <a:pt x="215" y="849"/>
                    </a:lnTo>
                    <a:lnTo>
                      <a:pt x="215" y="831"/>
                    </a:lnTo>
                    <a:lnTo>
                      <a:pt x="206" y="831"/>
                    </a:lnTo>
                    <a:lnTo>
                      <a:pt x="188" y="822"/>
                    </a:lnTo>
                    <a:lnTo>
                      <a:pt x="170" y="813"/>
                    </a:lnTo>
                    <a:lnTo>
                      <a:pt x="152" y="813"/>
                    </a:lnTo>
                    <a:lnTo>
                      <a:pt x="125" y="813"/>
                    </a:lnTo>
                    <a:lnTo>
                      <a:pt x="108" y="813"/>
                    </a:lnTo>
                    <a:lnTo>
                      <a:pt x="99" y="813"/>
                    </a:lnTo>
                    <a:lnTo>
                      <a:pt x="90" y="804"/>
                    </a:lnTo>
                    <a:lnTo>
                      <a:pt x="90" y="795"/>
                    </a:lnTo>
                    <a:lnTo>
                      <a:pt x="72" y="795"/>
                    </a:lnTo>
                    <a:lnTo>
                      <a:pt x="54" y="786"/>
                    </a:lnTo>
                    <a:lnTo>
                      <a:pt x="27" y="786"/>
                    </a:lnTo>
                    <a:lnTo>
                      <a:pt x="9" y="786"/>
                    </a:lnTo>
                    <a:lnTo>
                      <a:pt x="0" y="786"/>
                    </a:lnTo>
                    <a:lnTo>
                      <a:pt x="0" y="768"/>
                    </a:lnTo>
                  </a:path>
                </a:pathLst>
              </a:custGeom>
              <a:solidFill>
                <a:schemeClr val="tx2">
                  <a:lumMod val="20000"/>
                  <a:lumOff val="80000"/>
                </a:schemeClr>
              </a:solidFill>
              <a:ln w="342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42" name="Freeform 49">
                <a:extLst>
                  <a:ext uri="{FF2B5EF4-FFF2-40B4-BE49-F238E27FC236}">
                    <a16:creationId xmlns:a16="http://schemas.microsoft.com/office/drawing/2014/main" id="{D967DD42-5F65-4AD7-8E11-D44D80F5DC4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519" y="7813"/>
                <a:ext cx="375" cy="402"/>
              </a:xfrm>
              <a:custGeom>
                <a:avLst/>
                <a:gdLst>
                  <a:gd name="T0" fmla="*/ 26 w 169"/>
                  <a:gd name="T1" fmla="*/ 27 h 170"/>
                  <a:gd name="T2" fmla="*/ 44 w 169"/>
                  <a:gd name="T3" fmla="*/ 27 h 170"/>
                  <a:gd name="T4" fmla="*/ 53 w 169"/>
                  <a:gd name="T5" fmla="*/ 36 h 170"/>
                  <a:gd name="T6" fmla="*/ 62 w 169"/>
                  <a:gd name="T7" fmla="*/ 45 h 170"/>
                  <a:gd name="T8" fmla="*/ 80 w 169"/>
                  <a:gd name="T9" fmla="*/ 54 h 170"/>
                  <a:gd name="T10" fmla="*/ 80 w 169"/>
                  <a:gd name="T11" fmla="*/ 45 h 170"/>
                  <a:gd name="T12" fmla="*/ 80 w 169"/>
                  <a:gd name="T13" fmla="*/ 36 h 170"/>
                  <a:gd name="T14" fmla="*/ 71 w 169"/>
                  <a:gd name="T15" fmla="*/ 18 h 170"/>
                  <a:gd name="T16" fmla="*/ 62 w 169"/>
                  <a:gd name="T17" fmla="*/ 9 h 170"/>
                  <a:gd name="T18" fmla="*/ 71 w 169"/>
                  <a:gd name="T19" fmla="*/ 0 h 170"/>
                  <a:gd name="T20" fmla="*/ 71 w 169"/>
                  <a:gd name="T21" fmla="*/ 0 h 170"/>
                  <a:gd name="T22" fmla="*/ 80 w 169"/>
                  <a:gd name="T23" fmla="*/ 0 h 170"/>
                  <a:gd name="T24" fmla="*/ 89 w 169"/>
                  <a:gd name="T25" fmla="*/ 0 h 170"/>
                  <a:gd name="T26" fmla="*/ 98 w 169"/>
                  <a:gd name="T27" fmla="*/ 0 h 170"/>
                  <a:gd name="T28" fmla="*/ 116 w 169"/>
                  <a:gd name="T29" fmla="*/ 9 h 170"/>
                  <a:gd name="T30" fmla="*/ 116 w 169"/>
                  <a:gd name="T31" fmla="*/ 18 h 170"/>
                  <a:gd name="T32" fmla="*/ 125 w 169"/>
                  <a:gd name="T33" fmla="*/ 27 h 170"/>
                  <a:gd name="T34" fmla="*/ 125 w 169"/>
                  <a:gd name="T35" fmla="*/ 36 h 170"/>
                  <a:gd name="T36" fmla="*/ 125 w 169"/>
                  <a:gd name="T37" fmla="*/ 45 h 170"/>
                  <a:gd name="T38" fmla="*/ 125 w 169"/>
                  <a:gd name="T39" fmla="*/ 54 h 170"/>
                  <a:gd name="T40" fmla="*/ 134 w 169"/>
                  <a:gd name="T41" fmla="*/ 63 h 170"/>
                  <a:gd name="T42" fmla="*/ 143 w 169"/>
                  <a:gd name="T43" fmla="*/ 63 h 170"/>
                  <a:gd name="T44" fmla="*/ 152 w 169"/>
                  <a:gd name="T45" fmla="*/ 63 h 170"/>
                  <a:gd name="T46" fmla="*/ 160 w 169"/>
                  <a:gd name="T47" fmla="*/ 72 h 170"/>
                  <a:gd name="T48" fmla="*/ 169 w 169"/>
                  <a:gd name="T49" fmla="*/ 80 h 170"/>
                  <a:gd name="T50" fmla="*/ 169 w 169"/>
                  <a:gd name="T51" fmla="*/ 80 h 170"/>
                  <a:gd name="T52" fmla="*/ 169 w 169"/>
                  <a:gd name="T53" fmla="*/ 98 h 170"/>
                  <a:gd name="T54" fmla="*/ 169 w 169"/>
                  <a:gd name="T55" fmla="*/ 107 h 170"/>
                  <a:gd name="T56" fmla="*/ 160 w 169"/>
                  <a:gd name="T57" fmla="*/ 116 h 170"/>
                  <a:gd name="T58" fmla="*/ 152 w 169"/>
                  <a:gd name="T59" fmla="*/ 116 h 170"/>
                  <a:gd name="T60" fmla="*/ 134 w 169"/>
                  <a:gd name="T61" fmla="*/ 116 h 170"/>
                  <a:gd name="T62" fmla="*/ 125 w 169"/>
                  <a:gd name="T63" fmla="*/ 125 h 170"/>
                  <a:gd name="T64" fmla="*/ 134 w 169"/>
                  <a:gd name="T65" fmla="*/ 134 h 170"/>
                  <a:gd name="T66" fmla="*/ 134 w 169"/>
                  <a:gd name="T67" fmla="*/ 143 h 170"/>
                  <a:gd name="T68" fmla="*/ 134 w 169"/>
                  <a:gd name="T69" fmla="*/ 152 h 170"/>
                  <a:gd name="T70" fmla="*/ 134 w 169"/>
                  <a:gd name="T71" fmla="*/ 161 h 170"/>
                  <a:gd name="T72" fmla="*/ 125 w 169"/>
                  <a:gd name="T73" fmla="*/ 170 h 170"/>
                  <a:gd name="T74" fmla="*/ 116 w 169"/>
                  <a:gd name="T75" fmla="*/ 170 h 170"/>
                  <a:gd name="T76" fmla="*/ 107 w 169"/>
                  <a:gd name="T77" fmla="*/ 170 h 170"/>
                  <a:gd name="T78" fmla="*/ 89 w 169"/>
                  <a:gd name="T79" fmla="*/ 170 h 170"/>
                  <a:gd name="T80" fmla="*/ 62 w 169"/>
                  <a:gd name="T81" fmla="*/ 170 h 170"/>
                  <a:gd name="T82" fmla="*/ 44 w 169"/>
                  <a:gd name="T83" fmla="*/ 170 h 170"/>
                  <a:gd name="T84" fmla="*/ 35 w 169"/>
                  <a:gd name="T85" fmla="*/ 161 h 170"/>
                  <a:gd name="T86" fmla="*/ 26 w 169"/>
                  <a:gd name="T87" fmla="*/ 161 h 170"/>
                  <a:gd name="T88" fmla="*/ 18 w 169"/>
                  <a:gd name="T89" fmla="*/ 152 h 170"/>
                  <a:gd name="T90" fmla="*/ 18 w 169"/>
                  <a:gd name="T91" fmla="*/ 134 h 170"/>
                  <a:gd name="T92" fmla="*/ 9 w 169"/>
                  <a:gd name="T93" fmla="*/ 116 h 170"/>
                  <a:gd name="T94" fmla="*/ 0 w 169"/>
                  <a:gd name="T95" fmla="*/ 107 h 170"/>
                  <a:gd name="T96" fmla="*/ 0 w 169"/>
                  <a:gd name="T97" fmla="*/ 98 h 170"/>
                  <a:gd name="T98" fmla="*/ 0 w 169"/>
                  <a:gd name="T99" fmla="*/ 98 h 170"/>
                  <a:gd name="T100" fmla="*/ 9 w 169"/>
                  <a:gd name="T101" fmla="*/ 89 h 170"/>
                  <a:gd name="T102" fmla="*/ 9 w 169"/>
                  <a:gd name="T103" fmla="*/ 80 h 170"/>
                  <a:gd name="T104" fmla="*/ 9 w 169"/>
                  <a:gd name="T105" fmla="*/ 72 h 170"/>
                  <a:gd name="T106" fmla="*/ 18 w 169"/>
                  <a:gd name="T107" fmla="*/ 72 h 170"/>
                  <a:gd name="T108" fmla="*/ 26 w 169"/>
                  <a:gd name="T109" fmla="*/ 63 h 170"/>
                  <a:gd name="T110" fmla="*/ 18 w 169"/>
                  <a:gd name="T111" fmla="*/ 54 h 170"/>
                  <a:gd name="T112" fmla="*/ 18 w 169"/>
                  <a:gd name="T113" fmla="*/ 45 h 170"/>
                  <a:gd name="T114" fmla="*/ 18 w 169"/>
                  <a:gd name="T115" fmla="*/ 36 h 17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</a:cxnLst>
                <a:rect l="0" t="0" r="r" b="b"/>
                <a:pathLst>
                  <a:path w="169" h="170">
                    <a:moveTo>
                      <a:pt x="18" y="27"/>
                    </a:moveTo>
                    <a:lnTo>
                      <a:pt x="18" y="27"/>
                    </a:lnTo>
                    <a:lnTo>
                      <a:pt x="18" y="27"/>
                    </a:lnTo>
                    <a:lnTo>
                      <a:pt x="26" y="27"/>
                    </a:lnTo>
                    <a:lnTo>
                      <a:pt x="26" y="27"/>
                    </a:lnTo>
                    <a:lnTo>
                      <a:pt x="26" y="27"/>
                    </a:lnTo>
                    <a:lnTo>
                      <a:pt x="26" y="27"/>
                    </a:lnTo>
                    <a:lnTo>
                      <a:pt x="35" y="27"/>
                    </a:lnTo>
                    <a:lnTo>
                      <a:pt x="35" y="27"/>
                    </a:lnTo>
                    <a:lnTo>
                      <a:pt x="35" y="27"/>
                    </a:lnTo>
                    <a:lnTo>
                      <a:pt x="35" y="27"/>
                    </a:lnTo>
                    <a:lnTo>
                      <a:pt x="44" y="27"/>
                    </a:lnTo>
                    <a:lnTo>
                      <a:pt x="44" y="36"/>
                    </a:lnTo>
                    <a:lnTo>
                      <a:pt x="44" y="36"/>
                    </a:lnTo>
                    <a:lnTo>
                      <a:pt x="44" y="36"/>
                    </a:lnTo>
                    <a:lnTo>
                      <a:pt x="44" y="36"/>
                    </a:lnTo>
                    <a:lnTo>
                      <a:pt x="53" y="36"/>
                    </a:lnTo>
                    <a:lnTo>
                      <a:pt x="53" y="36"/>
                    </a:lnTo>
                    <a:lnTo>
                      <a:pt x="53" y="36"/>
                    </a:lnTo>
                    <a:lnTo>
                      <a:pt x="53" y="45"/>
                    </a:lnTo>
                    <a:lnTo>
                      <a:pt x="62" y="45"/>
                    </a:lnTo>
                    <a:lnTo>
                      <a:pt x="62" y="45"/>
                    </a:lnTo>
                    <a:lnTo>
                      <a:pt x="62" y="45"/>
                    </a:lnTo>
                    <a:lnTo>
                      <a:pt x="62" y="45"/>
                    </a:lnTo>
                    <a:lnTo>
                      <a:pt x="71" y="45"/>
                    </a:lnTo>
                    <a:lnTo>
                      <a:pt x="71" y="45"/>
                    </a:lnTo>
                    <a:lnTo>
                      <a:pt x="71" y="54"/>
                    </a:lnTo>
                    <a:lnTo>
                      <a:pt x="71" y="54"/>
                    </a:lnTo>
                    <a:lnTo>
                      <a:pt x="71" y="54"/>
                    </a:lnTo>
                    <a:lnTo>
                      <a:pt x="80" y="54"/>
                    </a:lnTo>
                    <a:lnTo>
                      <a:pt x="80" y="54"/>
                    </a:lnTo>
                    <a:lnTo>
                      <a:pt x="80" y="45"/>
                    </a:lnTo>
                    <a:lnTo>
                      <a:pt x="80" y="45"/>
                    </a:lnTo>
                    <a:lnTo>
                      <a:pt x="80" y="45"/>
                    </a:lnTo>
                    <a:lnTo>
                      <a:pt x="80" y="45"/>
                    </a:lnTo>
                    <a:lnTo>
                      <a:pt x="80" y="45"/>
                    </a:lnTo>
                    <a:lnTo>
                      <a:pt x="80" y="45"/>
                    </a:lnTo>
                    <a:lnTo>
                      <a:pt x="80" y="45"/>
                    </a:lnTo>
                    <a:lnTo>
                      <a:pt x="80" y="36"/>
                    </a:lnTo>
                    <a:lnTo>
                      <a:pt x="80" y="36"/>
                    </a:lnTo>
                    <a:lnTo>
                      <a:pt x="80" y="36"/>
                    </a:lnTo>
                    <a:lnTo>
                      <a:pt x="80" y="36"/>
                    </a:lnTo>
                    <a:lnTo>
                      <a:pt x="80" y="36"/>
                    </a:lnTo>
                    <a:lnTo>
                      <a:pt x="71" y="27"/>
                    </a:lnTo>
                    <a:lnTo>
                      <a:pt x="71" y="27"/>
                    </a:lnTo>
                    <a:lnTo>
                      <a:pt x="71" y="27"/>
                    </a:lnTo>
                    <a:lnTo>
                      <a:pt x="71" y="27"/>
                    </a:lnTo>
                    <a:lnTo>
                      <a:pt x="71" y="18"/>
                    </a:lnTo>
                    <a:lnTo>
                      <a:pt x="62" y="18"/>
                    </a:lnTo>
                    <a:lnTo>
                      <a:pt x="62" y="18"/>
                    </a:lnTo>
                    <a:lnTo>
                      <a:pt x="62" y="18"/>
                    </a:lnTo>
                    <a:lnTo>
                      <a:pt x="62" y="18"/>
                    </a:lnTo>
                    <a:lnTo>
                      <a:pt x="62" y="9"/>
                    </a:lnTo>
                    <a:lnTo>
                      <a:pt x="62" y="9"/>
                    </a:lnTo>
                    <a:lnTo>
                      <a:pt x="71" y="9"/>
                    </a:lnTo>
                    <a:lnTo>
                      <a:pt x="71" y="9"/>
                    </a:lnTo>
                    <a:lnTo>
                      <a:pt x="71" y="9"/>
                    </a:lnTo>
                    <a:lnTo>
                      <a:pt x="71" y="9"/>
                    </a:lnTo>
                    <a:lnTo>
                      <a:pt x="71" y="9"/>
                    </a:lnTo>
                    <a:lnTo>
                      <a:pt x="71" y="0"/>
                    </a:lnTo>
                    <a:lnTo>
                      <a:pt x="71" y="0"/>
                    </a:lnTo>
                    <a:lnTo>
                      <a:pt x="71" y="0"/>
                    </a:lnTo>
                    <a:lnTo>
                      <a:pt x="71" y="0"/>
                    </a:lnTo>
                    <a:lnTo>
                      <a:pt x="71" y="0"/>
                    </a:lnTo>
                    <a:lnTo>
                      <a:pt x="71" y="0"/>
                    </a:lnTo>
                    <a:lnTo>
                      <a:pt x="71" y="0"/>
                    </a:lnTo>
                    <a:lnTo>
                      <a:pt x="80" y="0"/>
                    </a:lnTo>
                    <a:lnTo>
                      <a:pt x="80" y="0"/>
                    </a:lnTo>
                    <a:lnTo>
                      <a:pt x="80" y="0"/>
                    </a:lnTo>
                    <a:lnTo>
                      <a:pt x="80" y="0"/>
                    </a:lnTo>
                    <a:lnTo>
                      <a:pt x="80" y="0"/>
                    </a:lnTo>
                    <a:lnTo>
                      <a:pt x="80" y="0"/>
                    </a:lnTo>
                    <a:lnTo>
                      <a:pt x="89" y="0"/>
                    </a:lnTo>
                    <a:lnTo>
                      <a:pt x="89" y="0"/>
                    </a:lnTo>
                    <a:lnTo>
                      <a:pt x="89" y="0"/>
                    </a:lnTo>
                    <a:lnTo>
                      <a:pt x="89" y="0"/>
                    </a:lnTo>
                    <a:lnTo>
                      <a:pt x="89" y="0"/>
                    </a:lnTo>
                    <a:lnTo>
                      <a:pt x="89" y="0"/>
                    </a:lnTo>
                    <a:lnTo>
                      <a:pt x="98" y="0"/>
                    </a:lnTo>
                    <a:lnTo>
                      <a:pt x="98" y="0"/>
                    </a:lnTo>
                    <a:lnTo>
                      <a:pt x="98" y="0"/>
                    </a:lnTo>
                    <a:lnTo>
                      <a:pt x="98" y="0"/>
                    </a:lnTo>
                    <a:lnTo>
                      <a:pt x="98" y="0"/>
                    </a:lnTo>
                    <a:lnTo>
                      <a:pt x="98" y="0"/>
                    </a:lnTo>
                    <a:lnTo>
                      <a:pt x="107" y="0"/>
                    </a:lnTo>
                    <a:lnTo>
                      <a:pt x="107" y="0"/>
                    </a:lnTo>
                    <a:lnTo>
                      <a:pt x="107" y="9"/>
                    </a:lnTo>
                    <a:lnTo>
                      <a:pt x="107" y="9"/>
                    </a:lnTo>
                    <a:lnTo>
                      <a:pt x="107" y="9"/>
                    </a:lnTo>
                    <a:lnTo>
                      <a:pt x="116" y="9"/>
                    </a:lnTo>
                    <a:lnTo>
                      <a:pt x="116" y="9"/>
                    </a:lnTo>
                    <a:lnTo>
                      <a:pt x="116" y="9"/>
                    </a:lnTo>
                    <a:lnTo>
                      <a:pt x="116" y="9"/>
                    </a:lnTo>
                    <a:lnTo>
                      <a:pt x="116" y="9"/>
                    </a:lnTo>
                    <a:lnTo>
                      <a:pt x="116" y="18"/>
                    </a:lnTo>
                    <a:lnTo>
                      <a:pt x="116" y="18"/>
                    </a:lnTo>
                    <a:lnTo>
                      <a:pt x="116" y="18"/>
                    </a:lnTo>
                    <a:lnTo>
                      <a:pt x="116" y="18"/>
                    </a:lnTo>
                    <a:lnTo>
                      <a:pt x="125" y="18"/>
                    </a:lnTo>
                    <a:lnTo>
                      <a:pt x="125" y="18"/>
                    </a:lnTo>
                    <a:lnTo>
                      <a:pt x="125" y="18"/>
                    </a:lnTo>
                    <a:lnTo>
                      <a:pt x="125" y="27"/>
                    </a:lnTo>
                    <a:lnTo>
                      <a:pt x="125" y="27"/>
                    </a:lnTo>
                    <a:lnTo>
                      <a:pt x="125" y="27"/>
                    </a:lnTo>
                    <a:lnTo>
                      <a:pt x="125" y="27"/>
                    </a:lnTo>
                    <a:lnTo>
                      <a:pt x="125" y="27"/>
                    </a:lnTo>
                    <a:lnTo>
                      <a:pt x="125" y="27"/>
                    </a:lnTo>
                    <a:lnTo>
                      <a:pt x="125" y="36"/>
                    </a:lnTo>
                    <a:lnTo>
                      <a:pt x="125" y="36"/>
                    </a:lnTo>
                    <a:lnTo>
                      <a:pt x="125" y="36"/>
                    </a:lnTo>
                    <a:lnTo>
                      <a:pt x="125" y="36"/>
                    </a:lnTo>
                    <a:lnTo>
                      <a:pt x="125" y="36"/>
                    </a:lnTo>
                    <a:lnTo>
                      <a:pt x="125" y="45"/>
                    </a:lnTo>
                    <a:lnTo>
                      <a:pt x="125" y="45"/>
                    </a:lnTo>
                    <a:lnTo>
                      <a:pt x="125" y="45"/>
                    </a:lnTo>
                    <a:lnTo>
                      <a:pt x="125" y="45"/>
                    </a:lnTo>
                    <a:lnTo>
                      <a:pt x="125" y="45"/>
                    </a:lnTo>
                    <a:lnTo>
                      <a:pt x="125" y="54"/>
                    </a:lnTo>
                    <a:lnTo>
                      <a:pt x="125" y="54"/>
                    </a:lnTo>
                    <a:lnTo>
                      <a:pt x="125" y="54"/>
                    </a:lnTo>
                    <a:lnTo>
                      <a:pt x="125" y="54"/>
                    </a:lnTo>
                    <a:lnTo>
                      <a:pt x="125" y="54"/>
                    </a:lnTo>
                    <a:lnTo>
                      <a:pt x="125" y="63"/>
                    </a:lnTo>
                    <a:lnTo>
                      <a:pt x="134" y="63"/>
                    </a:lnTo>
                    <a:lnTo>
                      <a:pt x="134" y="63"/>
                    </a:lnTo>
                    <a:lnTo>
                      <a:pt x="134" y="63"/>
                    </a:lnTo>
                    <a:lnTo>
                      <a:pt x="134" y="63"/>
                    </a:lnTo>
                    <a:lnTo>
                      <a:pt x="143" y="63"/>
                    </a:lnTo>
                    <a:lnTo>
                      <a:pt x="143" y="63"/>
                    </a:lnTo>
                    <a:lnTo>
                      <a:pt x="143" y="63"/>
                    </a:lnTo>
                    <a:lnTo>
                      <a:pt x="143" y="63"/>
                    </a:lnTo>
                    <a:lnTo>
                      <a:pt x="143" y="63"/>
                    </a:lnTo>
                    <a:lnTo>
                      <a:pt x="143" y="63"/>
                    </a:lnTo>
                    <a:lnTo>
                      <a:pt x="152" y="63"/>
                    </a:lnTo>
                    <a:lnTo>
                      <a:pt x="152" y="63"/>
                    </a:lnTo>
                    <a:lnTo>
                      <a:pt x="152" y="63"/>
                    </a:lnTo>
                    <a:lnTo>
                      <a:pt x="152" y="63"/>
                    </a:lnTo>
                    <a:lnTo>
                      <a:pt x="152" y="63"/>
                    </a:lnTo>
                    <a:lnTo>
                      <a:pt x="152" y="63"/>
                    </a:lnTo>
                    <a:lnTo>
                      <a:pt x="152" y="63"/>
                    </a:lnTo>
                    <a:lnTo>
                      <a:pt x="160" y="63"/>
                    </a:lnTo>
                    <a:lnTo>
                      <a:pt x="160" y="63"/>
                    </a:lnTo>
                    <a:lnTo>
                      <a:pt x="160" y="72"/>
                    </a:lnTo>
                    <a:lnTo>
                      <a:pt x="160" y="72"/>
                    </a:lnTo>
                    <a:lnTo>
                      <a:pt x="160" y="72"/>
                    </a:lnTo>
                    <a:lnTo>
                      <a:pt x="160" y="72"/>
                    </a:lnTo>
                    <a:lnTo>
                      <a:pt x="160" y="72"/>
                    </a:lnTo>
                    <a:lnTo>
                      <a:pt x="169" y="72"/>
                    </a:lnTo>
                    <a:lnTo>
                      <a:pt x="169" y="72"/>
                    </a:lnTo>
                    <a:lnTo>
                      <a:pt x="169" y="80"/>
                    </a:lnTo>
                    <a:lnTo>
                      <a:pt x="169" y="80"/>
                    </a:lnTo>
                    <a:lnTo>
                      <a:pt x="169" y="80"/>
                    </a:lnTo>
                    <a:lnTo>
                      <a:pt x="169" y="80"/>
                    </a:lnTo>
                    <a:lnTo>
                      <a:pt x="169" y="80"/>
                    </a:lnTo>
                    <a:lnTo>
                      <a:pt x="169" y="80"/>
                    </a:lnTo>
                    <a:lnTo>
                      <a:pt x="169" y="80"/>
                    </a:lnTo>
                    <a:lnTo>
                      <a:pt x="169" y="89"/>
                    </a:lnTo>
                    <a:lnTo>
                      <a:pt x="169" y="89"/>
                    </a:lnTo>
                    <a:lnTo>
                      <a:pt x="169" y="89"/>
                    </a:lnTo>
                    <a:lnTo>
                      <a:pt x="169" y="89"/>
                    </a:lnTo>
                    <a:lnTo>
                      <a:pt x="169" y="89"/>
                    </a:lnTo>
                    <a:lnTo>
                      <a:pt x="169" y="98"/>
                    </a:lnTo>
                    <a:lnTo>
                      <a:pt x="169" y="98"/>
                    </a:lnTo>
                    <a:lnTo>
                      <a:pt x="169" y="98"/>
                    </a:lnTo>
                    <a:lnTo>
                      <a:pt x="169" y="98"/>
                    </a:lnTo>
                    <a:lnTo>
                      <a:pt x="169" y="107"/>
                    </a:lnTo>
                    <a:lnTo>
                      <a:pt x="169" y="107"/>
                    </a:lnTo>
                    <a:lnTo>
                      <a:pt x="169" y="107"/>
                    </a:lnTo>
                    <a:lnTo>
                      <a:pt x="169" y="107"/>
                    </a:lnTo>
                    <a:lnTo>
                      <a:pt x="169" y="107"/>
                    </a:lnTo>
                    <a:lnTo>
                      <a:pt x="169" y="116"/>
                    </a:lnTo>
                    <a:lnTo>
                      <a:pt x="169" y="116"/>
                    </a:lnTo>
                    <a:lnTo>
                      <a:pt x="160" y="116"/>
                    </a:lnTo>
                    <a:lnTo>
                      <a:pt x="160" y="116"/>
                    </a:lnTo>
                    <a:lnTo>
                      <a:pt x="160" y="116"/>
                    </a:lnTo>
                    <a:lnTo>
                      <a:pt x="160" y="116"/>
                    </a:lnTo>
                    <a:lnTo>
                      <a:pt x="160" y="116"/>
                    </a:lnTo>
                    <a:lnTo>
                      <a:pt x="152" y="116"/>
                    </a:lnTo>
                    <a:lnTo>
                      <a:pt x="152" y="116"/>
                    </a:lnTo>
                    <a:lnTo>
                      <a:pt x="152" y="116"/>
                    </a:lnTo>
                    <a:lnTo>
                      <a:pt x="143" y="116"/>
                    </a:lnTo>
                    <a:lnTo>
                      <a:pt x="143" y="116"/>
                    </a:lnTo>
                    <a:lnTo>
                      <a:pt x="143" y="116"/>
                    </a:lnTo>
                    <a:lnTo>
                      <a:pt x="134" y="116"/>
                    </a:lnTo>
                    <a:lnTo>
                      <a:pt x="134" y="116"/>
                    </a:lnTo>
                    <a:lnTo>
                      <a:pt x="134" y="116"/>
                    </a:lnTo>
                    <a:lnTo>
                      <a:pt x="134" y="116"/>
                    </a:lnTo>
                    <a:lnTo>
                      <a:pt x="134" y="116"/>
                    </a:lnTo>
                    <a:lnTo>
                      <a:pt x="134" y="125"/>
                    </a:lnTo>
                    <a:lnTo>
                      <a:pt x="125" y="125"/>
                    </a:lnTo>
                    <a:lnTo>
                      <a:pt x="125" y="125"/>
                    </a:lnTo>
                    <a:lnTo>
                      <a:pt x="125" y="125"/>
                    </a:lnTo>
                    <a:lnTo>
                      <a:pt x="125" y="125"/>
                    </a:lnTo>
                    <a:lnTo>
                      <a:pt x="125" y="125"/>
                    </a:lnTo>
                    <a:lnTo>
                      <a:pt x="125" y="134"/>
                    </a:lnTo>
                    <a:lnTo>
                      <a:pt x="125" y="134"/>
                    </a:lnTo>
                    <a:lnTo>
                      <a:pt x="125" y="134"/>
                    </a:lnTo>
                    <a:lnTo>
                      <a:pt x="134" y="134"/>
                    </a:lnTo>
                    <a:lnTo>
                      <a:pt x="134" y="143"/>
                    </a:lnTo>
                    <a:lnTo>
                      <a:pt x="134" y="143"/>
                    </a:lnTo>
                    <a:lnTo>
                      <a:pt x="134" y="143"/>
                    </a:lnTo>
                    <a:lnTo>
                      <a:pt x="134" y="143"/>
                    </a:lnTo>
                    <a:lnTo>
                      <a:pt x="134" y="143"/>
                    </a:lnTo>
                    <a:lnTo>
                      <a:pt x="134" y="143"/>
                    </a:lnTo>
                    <a:lnTo>
                      <a:pt x="134" y="143"/>
                    </a:lnTo>
                    <a:lnTo>
                      <a:pt x="134" y="143"/>
                    </a:lnTo>
                    <a:lnTo>
                      <a:pt x="134" y="152"/>
                    </a:lnTo>
                    <a:lnTo>
                      <a:pt x="134" y="152"/>
                    </a:lnTo>
                    <a:lnTo>
                      <a:pt x="134" y="152"/>
                    </a:lnTo>
                    <a:lnTo>
                      <a:pt x="134" y="152"/>
                    </a:lnTo>
                    <a:lnTo>
                      <a:pt x="134" y="152"/>
                    </a:lnTo>
                    <a:lnTo>
                      <a:pt x="134" y="152"/>
                    </a:lnTo>
                    <a:lnTo>
                      <a:pt x="134" y="161"/>
                    </a:lnTo>
                    <a:lnTo>
                      <a:pt x="134" y="161"/>
                    </a:lnTo>
                    <a:lnTo>
                      <a:pt x="134" y="161"/>
                    </a:lnTo>
                    <a:lnTo>
                      <a:pt x="134" y="161"/>
                    </a:lnTo>
                    <a:lnTo>
                      <a:pt x="134" y="161"/>
                    </a:lnTo>
                    <a:lnTo>
                      <a:pt x="134" y="161"/>
                    </a:lnTo>
                    <a:lnTo>
                      <a:pt x="134" y="170"/>
                    </a:lnTo>
                    <a:lnTo>
                      <a:pt x="125" y="170"/>
                    </a:lnTo>
                    <a:lnTo>
                      <a:pt x="125" y="170"/>
                    </a:lnTo>
                    <a:lnTo>
                      <a:pt x="125" y="170"/>
                    </a:lnTo>
                    <a:lnTo>
                      <a:pt x="125" y="170"/>
                    </a:lnTo>
                    <a:lnTo>
                      <a:pt x="125" y="170"/>
                    </a:lnTo>
                    <a:lnTo>
                      <a:pt x="125" y="170"/>
                    </a:lnTo>
                    <a:lnTo>
                      <a:pt x="116" y="170"/>
                    </a:lnTo>
                    <a:lnTo>
                      <a:pt x="116" y="170"/>
                    </a:lnTo>
                    <a:lnTo>
                      <a:pt x="116" y="170"/>
                    </a:lnTo>
                    <a:lnTo>
                      <a:pt x="116" y="170"/>
                    </a:lnTo>
                    <a:lnTo>
                      <a:pt x="116" y="170"/>
                    </a:lnTo>
                    <a:lnTo>
                      <a:pt x="107" y="170"/>
                    </a:lnTo>
                    <a:lnTo>
                      <a:pt x="107" y="170"/>
                    </a:lnTo>
                    <a:lnTo>
                      <a:pt x="107" y="170"/>
                    </a:lnTo>
                    <a:lnTo>
                      <a:pt x="107" y="170"/>
                    </a:lnTo>
                    <a:lnTo>
                      <a:pt x="98" y="170"/>
                    </a:lnTo>
                    <a:lnTo>
                      <a:pt x="98" y="170"/>
                    </a:lnTo>
                    <a:lnTo>
                      <a:pt x="98" y="170"/>
                    </a:lnTo>
                    <a:lnTo>
                      <a:pt x="89" y="170"/>
                    </a:lnTo>
                    <a:lnTo>
                      <a:pt x="89" y="170"/>
                    </a:lnTo>
                    <a:lnTo>
                      <a:pt x="89" y="170"/>
                    </a:lnTo>
                    <a:lnTo>
                      <a:pt x="80" y="170"/>
                    </a:lnTo>
                    <a:lnTo>
                      <a:pt x="80" y="170"/>
                    </a:lnTo>
                    <a:lnTo>
                      <a:pt x="71" y="170"/>
                    </a:lnTo>
                    <a:lnTo>
                      <a:pt x="71" y="170"/>
                    </a:lnTo>
                    <a:lnTo>
                      <a:pt x="71" y="170"/>
                    </a:lnTo>
                    <a:lnTo>
                      <a:pt x="62" y="170"/>
                    </a:lnTo>
                    <a:lnTo>
                      <a:pt x="62" y="170"/>
                    </a:lnTo>
                    <a:lnTo>
                      <a:pt x="53" y="170"/>
                    </a:lnTo>
                    <a:lnTo>
                      <a:pt x="53" y="170"/>
                    </a:lnTo>
                    <a:lnTo>
                      <a:pt x="53" y="170"/>
                    </a:lnTo>
                    <a:lnTo>
                      <a:pt x="53" y="170"/>
                    </a:lnTo>
                    <a:lnTo>
                      <a:pt x="44" y="170"/>
                    </a:lnTo>
                    <a:lnTo>
                      <a:pt x="44" y="170"/>
                    </a:lnTo>
                    <a:lnTo>
                      <a:pt x="44" y="170"/>
                    </a:lnTo>
                    <a:lnTo>
                      <a:pt x="35" y="170"/>
                    </a:lnTo>
                    <a:lnTo>
                      <a:pt x="35" y="170"/>
                    </a:lnTo>
                    <a:lnTo>
                      <a:pt x="35" y="170"/>
                    </a:lnTo>
                    <a:lnTo>
                      <a:pt x="35" y="161"/>
                    </a:lnTo>
                    <a:lnTo>
                      <a:pt x="35" y="161"/>
                    </a:lnTo>
                    <a:lnTo>
                      <a:pt x="26" y="161"/>
                    </a:lnTo>
                    <a:lnTo>
                      <a:pt x="26" y="161"/>
                    </a:lnTo>
                    <a:lnTo>
                      <a:pt x="26" y="161"/>
                    </a:lnTo>
                    <a:lnTo>
                      <a:pt x="26" y="161"/>
                    </a:lnTo>
                    <a:lnTo>
                      <a:pt x="26" y="161"/>
                    </a:lnTo>
                    <a:lnTo>
                      <a:pt x="26" y="161"/>
                    </a:lnTo>
                    <a:lnTo>
                      <a:pt x="26" y="161"/>
                    </a:lnTo>
                    <a:lnTo>
                      <a:pt x="26" y="152"/>
                    </a:lnTo>
                    <a:lnTo>
                      <a:pt x="18" y="152"/>
                    </a:lnTo>
                    <a:lnTo>
                      <a:pt x="18" y="152"/>
                    </a:lnTo>
                    <a:lnTo>
                      <a:pt x="18" y="152"/>
                    </a:lnTo>
                    <a:lnTo>
                      <a:pt x="18" y="143"/>
                    </a:lnTo>
                    <a:lnTo>
                      <a:pt x="18" y="143"/>
                    </a:lnTo>
                    <a:lnTo>
                      <a:pt x="18" y="143"/>
                    </a:lnTo>
                    <a:lnTo>
                      <a:pt x="18" y="134"/>
                    </a:lnTo>
                    <a:lnTo>
                      <a:pt x="18" y="134"/>
                    </a:lnTo>
                    <a:lnTo>
                      <a:pt x="18" y="134"/>
                    </a:lnTo>
                    <a:lnTo>
                      <a:pt x="9" y="134"/>
                    </a:lnTo>
                    <a:lnTo>
                      <a:pt x="9" y="125"/>
                    </a:lnTo>
                    <a:lnTo>
                      <a:pt x="9" y="125"/>
                    </a:lnTo>
                    <a:lnTo>
                      <a:pt x="9" y="125"/>
                    </a:lnTo>
                    <a:lnTo>
                      <a:pt x="9" y="125"/>
                    </a:lnTo>
                    <a:lnTo>
                      <a:pt x="9" y="116"/>
                    </a:lnTo>
                    <a:lnTo>
                      <a:pt x="0" y="116"/>
                    </a:lnTo>
                    <a:lnTo>
                      <a:pt x="0" y="116"/>
                    </a:lnTo>
                    <a:lnTo>
                      <a:pt x="0" y="116"/>
                    </a:lnTo>
                    <a:lnTo>
                      <a:pt x="0" y="107"/>
                    </a:lnTo>
                    <a:lnTo>
                      <a:pt x="0" y="107"/>
                    </a:lnTo>
                    <a:lnTo>
                      <a:pt x="0" y="107"/>
                    </a:lnTo>
                    <a:lnTo>
                      <a:pt x="0" y="107"/>
                    </a:lnTo>
                    <a:lnTo>
                      <a:pt x="0" y="107"/>
                    </a:lnTo>
                    <a:lnTo>
                      <a:pt x="0" y="107"/>
                    </a:lnTo>
                    <a:lnTo>
                      <a:pt x="0" y="107"/>
                    </a:lnTo>
                    <a:lnTo>
                      <a:pt x="0" y="98"/>
                    </a:lnTo>
                    <a:lnTo>
                      <a:pt x="0" y="98"/>
                    </a:lnTo>
                    <a:lnTo>
                      <a:pt x="0" y="98"/>
                    </a:lnTo>
                    <a:lnTo>
                      <a:pt x="0" y="98"/>
                    </a:lnTo>
                    <a:lnTo>
                      <a:pt x="0" y="98"/>
                    </a:lnTo>
                    <a:lnTo>
                      <a:pt x="0" y="98"/>
                    </a:lnTo>
                    <a:lnTo>
                      <a:pt x="0" y="98"/>
                    </a:lnTo>
                    <a:lnTo>
                      <a:pt x="0" y="98"/>
                    </a:lnTo>
                    <a:lnTo>
                      <a:pt x="0" y="89"/>
                    </a:lnTo>
                    <a:lnTo>
                      <a:pt x="0" y="89"/>
                    </a:lnTo>
                    <a:lnTo>
                      <a:pt x="0" y="89"/>
                    </a:lnTo>
                    <a:lnTo>
                      <a:pt x="0" y="89"/>
                    </a:lnTo>
                    <a:lnTo>
                      <a:pt x="0" y="89"/>
                    </a:lnTo>
                    <a:lnTo>
                      <a:pt x="9" y="89"/>
                    </a:lnTo>
                    <a:lnTo>
                      <a:pt x="9" y="89"/>
                    </a:lnTo>
                    <a:lnTo>
                      <a:pt x="9" y="89"/>
                    </a:lnTo>
                    <a:lnTo>
                      <a:pt x="0" y="80"/>
                    </a:lnTo>
                    <a:lnTo>
                      <a:pt x="0" y="80"/>
                    </a:lnTo>
                    <a:lnTo>
                      <a:pt x="0" y="80"/>
                    </a:lnTo>
                    <a:lnTo>
                      <a:pt x="9" y="80"/>
                    </a:lnTo>
                    <a:lnTo>
                      <a:pt x="9" y="80"/>
                    </a:lnTo>
                    <a:lnTo>
                      <a:pt x="9" y="80"/>
                    </a:lnTo>
                    <a:lnTo>
                      <a:pt x="9" y="80"/>
                    </a:lnTo>
                    <a:lnTo>
                      <a:pt x="9" y="72"/>
                    </a:lnTo>
                    <a:lnTo>
                      <a:pt x="9" y="72"/>
                    </a:lnTo>
                    <a:lnTo>
                      <a:pt x="9" y="72"/>
                    </a:lnTo>
                    <a:lnTo>
                      <a:pt x="9" y="72"/>
                    </a:lnTo>
                    <a:lnTo>
                      <a:pt x="9" y="72"/>
                    </a:lnTo>
                    <a:lnTo>
                      <a:pt x="9" y="72"/>
                    </a:lnTo>
                    <a:lnTo>
                      <a:pt x="18" y="72"/>
                    </a:lnTo>
                    <a:lnTo>
                      <a:pt x="18" y="72"/>
                    </a:lnTo>
                    <a:lnTo>
                      <a:pt x="18" y="72"/>
                    </a:lnTo>
                    <a:lnTo>
                      <a:pt x="18" y="72"/>
                    </a:lnTo>
                    <a:lnTo>
                      <a:pt x="18" y="72"/>
                    </a:lnTo>
                    <a:lnTo>
                      <a:pt x="18" y="72"/>
                    </a:lnTo>
                    <a:lnTo>
                      <a:pt x="18" y="72"/>
                    </a:lnTo>
                    <a:lnTo>
                      <a:pt x="26" y="63"/>
                    </a:lnTo>
                    <a:lnTo>
                      <a:pt x="26" y="63"/>
                    </a:lnTo>
                    <a:lnTo>
                      <a:pt x="18" y="63"/>
                    </a:lnTo>
                    <a:lnTo>
                      <a:pt x="18" y="63"/>
                    </a:lnTo>
                    <a:lnTo>
                      <a:pt x="18" y="63"/>
                    </a:lnTo>
                    <a:lnTo>
                      <a:pt x="18" y="63"/>
                    </a:lnTo>
                    <a:lnTo>
                      <a:pt x="18" y="54"/>
                    </a:lnTo>
                    <a:lnTo>
                      <a:pt x="18" y="54"/>
                    </a:lnTo>
                    <a:lnTo>
                      <a:pt x="18" y="54"/>
                    </a:lnTo>
                    <a:lnTo>
                      <a:pt x="18" y="54"/>
                    </a:lnTo>
                    <a:lnTo>
                      <a:pt x="18" y="54"/>
                    </a:lnTo>
                    <a:lnTo>
                      <a:pt x="18" y="45"/>
                    </a:lnTo>
                    <a:lnTo>
                      <a:pt x="18" y="45"/>
                    </a:lnTo>
                    <a:lnTo>
                      <a:pt x="18" y="45"/>
                    </a:lnTo>
                    <a:lnTo>
                      <a:pt x="18" y="45"/>
                    </a:lnTo>
                    <a:lnTo>
                      <a:pt x="18" y="45"/>
                    </a:lnTo>
                    <a:lnTo>
                      <a:pt x="18" y="36"/>
                    </a:lnTo>
                    <a:lnTo>
                      <a:pt x="18" y="36"/>
                    </a:lnTo>
                    <a:lnTo>
                      <a:pt x="18" y="36"/>
                    </a:lnTo>
                    <a:lnTo>
                      <a:pt x="18" y="36"/>
                    </a:lnTo>
                    <a:lnTo>
                      <a:pt x="18" y="36"/>
                    </a:lnTo>
                    <a:lnTo>
                      <a:pt x="18" y="36"/>
                    </a:lnTo>
                    <a:lnTo>
                      <a:pt x="18" y="36"/>
                    </a:lnTo>
                    <a:lnTo>
                      <a:pt x="18" y="36"/>
                    </a:lnTo>
                    <a:lnTo>
                      <a:pt x="18" y="27"/>
                    </a:lnTo>
                  </a:path>
                </a:pathLst>
              </a:custGeom>
              <a:solidFill>
                <a:schemeClr val="tx2">
                  <a:lumMod val="20000"/>
                  <a:lumOff val="80000"/>
                </a:schemeClr>
              </a:solidFill>
              <a:ln w="88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43" name="Freeform 50">
                <a:extLst>
                  <a:ext uri="{FF2B5EF4-FFF2-40B4-BE49-F238E27FC236}">
                    <a16:creationId xmlns:a16="http://schemas.microsoft.com/office/drawing/2014/main" id="{2DCA1142-FE6D-4732-85D0-7AA1E8BF8B2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243" y="6306"/>
                <a:ext cx="1335" cy="1407"/>
              </a:xfrm>
              <a:custGeom>
                <a:avLst/>
                <a:gdLst>
                  <a:gd name="T0" fmla="*/ 220 w 1287"/>
                  <a:gd name="T1" fmla="*/ 16 h 1324"/>
                  <a:gd name="T2" fmla="*/ 190 w 1287"/>
                  <a:gd name="T3" fmla="*/ 46 h 1324"/>
                  <a:gd name="T4" fmla="*/ 211 w 1287"/>
                  <a:gd name="T5" fmla="*/ 141 h 1324"/>
                  <a:gd name="T6" fmla="*/ 74 w 1287"/>
                  <a:gd name="T7" fmla="*/ 205 h 1324"/>
                  <a:gd name="T8" fmla="*/ 23 w 1287"/>
                  <a:gd name="T9" fmla="*/ 299 h 1324"/>
                  <a:gd name="T10" fmla="*/ 36 w 1287"/>
                  <a:gd name="T11" fmla="*/ 351 h 1324"/>
                  <a:gd name="T12" fmla="*/ 36 w 1287"/>
                  <a:gd name="T13" fmla="*/ 556 h 1324"/>
                  <a:gd name="T14" fmla="*/ 108 w 1287"/>
                  <a:gd name="T15" fmla="*/ 616 h 1324"/>
                  <a:gd name="T16" fmla="*/ 177 w 1287"/>
                  <a:gd name="T17" fmla="*/ 745 h 1324"/>
                  <a:gd name="T18" fmla="*/ 203 w 1287"/>
                  <a:gd name="T19" fmla="*/ 818 h 1324"/>
                  <a:gd name="T20" fmla="*/ 336 w 1287"/>
                  <a:gd name="T21" fmla="*/ 916 h 1324"/>
                  <a:gd name="T22" fmla="*/ 370 w 1287"/>
                  <a:gd name="T23" fmla="*/ 981 h 1324"/>
                  <a:gd name="T24" fmla="*/ 460 w 1287"/>
                  <a:gd name="T25" fmla="*/ 1054 h 1324"/>
                  <a:gd name="T26" fmla="*/ 550 w 1287"/>
                  <a:gd name="T27" fmla="*/ 1088 h 1324"/>
                  <a:gd name="T28" fmla="*/ 601 w 1287"/>
                  <a:gd name="T29" fmla="*/ 1225 h 1324"/>
                  <a:gd name="T30" fmla="*/ 657 w 1287"/>
                  <a:gd name="T31" fmla="*/ 1246 h 1324"/>
                  <a:gd name="T32" fmla="*/ 717 w 1287"/>
                  <a:gd name="T33" fmla="*/ 1251 h 1324"/>
                  <a:gd name="T34" fmla="*/ 756 w 1287"/>
                  <a:gd name="T35" fmla="*/ 1285 h 1324"/>
                  <a:gd name="T36" fmla="*/ 1047 w 1287"/>
                  <a:gd name="T37" fmla="*/ 1294 h 1324"/>
                  <a:gd name="T38" fmla="*/ 1051 w 1287"/>
                  <a:gd name="T39" fmla="*/ 1251 h 1324"/>
                  <a:gd name="T40" fmla="*/ 1030 w 1287"/>
                  <a:gd name="T41" fmla="*/ 1015 h 1324"/>
                  <a:gd name="T42" fmla="*/ 1081 w 1287"/>
                  <a:gd name="T43" fmla="*/ 938 h 1324"/>
                  <a:gd name="T44" fmla="*/ 1128 w 1287"/>
                  <a:gd name="T45" fmla="*/ 831 h 1324"/>
                  <a:gd name="T46" fmla="*/ 1193 w 1287"/>
                  <a:gd name="T47" fmla="*/ 754 h 1324"/>
                  <a:gd name="T48" fmla="*/ 1124 w 1287"/>
                  <a:gd name="T49" fmla="*/ 642 h 1324"/>
                  <a:gd name="T50" fmla="*/ 1227 w 1287"/>
                  <a:gd name="T51" fmla="*/ 599 h 1324"/>
                  <a:gd name="T52" fmla="*/ 1287 w 1287"/>
                  <a:gd name="T53" fmla="*/ 535 h 1324"/>
                  <a:gd name="T54" fmla="*/ 1188 w 1287"/>
                  <a:gd name="T55" fmla="*/ 432 h 1324"/>
                  <a:gd name="T56" fmla="*/ 1167 w 1287"/>
                  <a:gd name="T57" fmla="*/ 359 h 1324"/>
                  <a:gd name="T58" fmla="*/ 1270 w 1287"/>
                  <a:gd name="T59" fmla="*/ 338 h 1324"/>
                  <a:gd name="T60" fmla="*/ 1158 w 1287"/>
                  <a:gd name="T61" fmla="*/ 278 h 1324"/>
                  <a:gd name="T62" fmla="*/ 897 w 1287"/>
                  <a:gd name="T63" fmla="*/ 286 h 1324"/>
                  <a:gd name="T64" fmla="*/ 794 w 1287"/>
                  <a:gd name="T65" fmla="*/ 188 h 1324"/>
                  <a:gd name="T66" fmla="*/ 674 w 1287"/>
                  <a:gd name="T67" fmla="*/ 46 h 1324"/>
                  <a:gd name="T68" fmla="*/ 636 w 1287"/>
                  <a:gd name="T69" fmla="*/ 76 h 1324"/>
                  <a:gd name="T70" fmla="*/ 666 w 1287"/>
                  <a:gd name="T71" fmla="*/ 102 h 1324"/>
                  <a:gd name="T72" fmla="*/ 713 w 1287"/>
                  <a:gd name="T73" fmla="*/ 171 h 1324"/>
                  <a:gd name="T74" fmla="*/ 721 w 1287"/>
                  <a:gd name="T75" fmla="*/ 269 h 1324"/>
                  <a:gd name="T76" fmla="*/ 558 w 1287"/>
                  <a:gd name="T77" fmla="*/ 209 h 1324"/>
                  <a:gd name="T78" fmla="*/ 511 w 1287"/>
                  <a:gd name="T79" fmla="*/ 124 h 1324"/>
                  <a:gd name="T80" fmla="*/ 503 w 1287"/>
                  <a:gd name="T81" fmla="*/ 64 h 1324"/>
                  <a:gd name="T82" fmla="*/ 417 w 1287"/>
                  <a:gd name="T83" fmla="*/ 46 h 1324"/>
                  <a:gd name="T84" fmla="*/ 348 w 1287"/>
                  <a:gd name="T85" fmla="*/ 46 h 132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</a:cxnLst>
                <a:rect l="0" t="0" r="r" b="b"/>
                <a:pathLst>
                  <a:path w="1287" h="1324">
                    <a:moveTo>
                      <a:pt x="314" y="8"/>
                    </a:moveTo>
                    <a:cubicBezTo>
                      <a:pt x="283" y="10"/>
                      <a:pt x="247" y="0"/>
                      <a:pt x="220" y="16"/>
                    </a:cubicBezTo>
                    <a:cubicBezTo>
                      <a:pt x="212" y="21"/>
                      <a:pt x="219" y="37"/>
                      <a:pt x="211" y="42"/>
                    </a:cubicBezTo>
                    <a:cubicBezTo>
                      <a:pt x="205" y="46"/>
                      <a:pt x="197" y="45"/>
                      <a:pt x="190" y="46"/>
                    </a:cubicBezTo>
                    <a:cubicBezTo>
                      <a:pt x="179" y="68"/>
                      <a:pt x="176" y="107"/>
                      <a:pt x="203" y="115"/>
                    </a:cubicBezTo>
                    <a:cubicBezTo>
                      <a:pt x="206" y="124"/>
                      <a:pt x="208" y="132"/>
                      <a:pt x="211" y="141"/>
                    </a:cubicBezTo>
                    <a:cubicBezTo>
                      <a:pt x="214" y="150"/>
                      <a:pt x="187" y="172"/>
                      <a:pt x="181" y="175"/>
                    </a:cubicBezTo>
                    <a:cubicBezTo>
                      <a:pt x="149" y="191"/>
                      <a:pt x="109" y="199"/>
                      <a:pt x="74" y="205"/>
                    </a:cubicBezTo>
                    <a:cubicBezTo>
                      <a:pt x="45" y="225"/>
                      <a:pt x="55" y="283"/>
                      <a:pt x="40" y="295"/>
                    </a:cubicBezTo>
                    <a:cubicBezTo>
                      <a:pt x="35" y="299"/>
                      <a:pt x="29" y="298"/>
                      <a:pt x="23" y="299"/>
                    </a:cubicBezTo>
                    <a:cubicBezTo>
                      <a:pt x="22" y="300"/>
                      <a:pt x="0" y="320"/>
                      <a:pt x="1" y="325"/>
                    </a:cubicBezTo>
                    <a:cubicBezTo>
                      <a:pt x="2" y="328"/>
                      <a:pt x="31" y="349"/>
                      <a:pt x="36" y="351"/>
                    </a:cubicBezTo>
                    <a:cubicBezTo>
                      <a:pt x="72" y="391"/>
                      <a:pt x="64" y="455"/>
                      <a:pt x="27" y="492"/>
                    </a:cubicBezTo>
                    <a:cubicBezTo>
                      <a:pt x="23" y="506"/>
                      <a:pt x="29" y="541"/>
                      <a:pt x="36" y="556"/>
                    </a:cubicBezTo>
                    <a:cubicBezTo>
                      <a:pt x="44" y="572"/>
                      <a:pt x="87" y="574"/>
                      <a:pt x="87" y="574"/>
                    </a:cubicBezTo>
                    <a:cubicBezTo>
                      <a:pt x="111" y="589"/>
                      <a:pt x="114" y="584"/>
                      <a:pt x="108" y="616"/>
                    </a:cubicBezTo>
                    <a:cubicBezTo>
                      <a:pt x="116" y="657"/>
                      <a:pt x="124" y="673"/>
                      <a:pt x="164" y="685"/>
                    </a:cubicBezTo>
                    <a:cubicBezTo>
                      <a:pt x="170" y="705"/>
                      <a:pt x="175" y="724"/>
                      <a:pt x="177" y="745"/>
                    </a:cubicBezTo>
                    <a:cubicBezTo>
                      <a:pt x="179" y="768"/>
                      <a:pt x="170" y="798"/>
                      <a:pt x="186" y="814"/>
                    </a:cubicBezTo>
                    <a:cubicBezTo>
                      <a:pt x="190" y="818"/>
                      <a:pt x="197" y="817"/>
                      <a:pt x="203" y="818"/>
                    </a:cubicBezTo>
                    <a:cubicBezTo>
                      <a:pt x="237" y="811"/>
                      <a:pt x="224" y="818"/>
                      <a:pt x="233" y="848"/>
                    </a:cubicBezTo>
                    <a:cubicBezTo>
                      <a:pt x="240" y="933"/>
                      <a:pt x="234" y="911"/>
                      <a:pt x="336" y="916"/>
                    </a:cubicBezTo>
                    <a:cubicBezTo>
                      <a:pt x="342" y="934"/>
                      <a:pt x="338" y="954"/>
                      <a:pt x="344" y="972"/>
                    </a:cubicBezTo>
                    <a:cubicBezTo>
                      <a:pt x="347" y="981"/>
                      <a:pt x="361" y="979"/>
                      <a:pt x="370" y="981"/>
                    </a:cubicBezTo>
                    <a:cubicBezTo>
                      <a:pt x="389" y="984"/>
                      <a:pt x="407" y="986"/>
                      <a:pt x="426" y="989"/>
                    </a:cubicBezTo>
                    <a:cubicBezTo>
                      <a:pt x="432" y="1009"/>
                      <a:pt x="436" y="1047"/>
                      <a:pt x="460" y="1054"/>
                    </a:cubicBezTo>
                    <a:cubicBezTo>
                      <a:pt x="471" y="1057"/>
                      <a:pt x="483" y="1057"/>
                      <a:pt x="494" y="1058"/>
                    </a:cubicBezTo>
                    <a:cubicBezTo>
                      <a:pt x="520" y="1066"/>
                      <a:pt x="516" y="1082"/>
                      <a:pt x="550" y="1088"/>
                    </a:cubicBezTo>
                    <a:cubicBezTo>
                      <a:pt x="566" y="1098"/>
                      <a:pt x="565" y="1107"/>
                      <a:pt x="576" y="1122"/>
                    </a:cubicBezTo>
                    <a:cubicBezTo>
                      <a:pt x="587" y="1156"/>
                      <a:pt x="590" y="1191"/>
                      <a:pt x="601" y="1225"/>
                    </a:cubicBezTo>
                    <a:cubicBezTo>
                      <a:pt x="603" y="1231"/>
                      <a:pt x="634" y="1239"/>
                      <a:pt x="644" y="1242"/>
                    </a:cubicBezTo>
                    <a:cubicBezTo>
                      <a:pt x="648" y="1243"/>
                      <a:pt x="657" y="1246"/>
                      <a:pt x="657" y="1246"/>
                    </a:cubicBezTo>
                    <a:cubicBezTo>
                      <a:pt x="675" y="1240"/>
                      <a:pt x="685" y="1238"/>
                      <a:pt x="704" y="1242"/>
                    </a:cubicBezTo>
                    <a:cubicBezTo>
                      <a:pt x="708" y="1245"/>
                      <a:pt x="714" y="1247"/>
                      <a:pt x="717" y="1251"/>
                    </a:cubicBezTo>
                    <a:cubicBezTo>
                      <a:pt x="719" y="1253"/>
                      <a:pt x="723" y="1274"/>
                      <a:pt x="726" y="1276"/>
                    </a:cubicBezTo>
                    <a:cubicBezTo>
                      <a:pt x="735" y="1281"/>
                      <a:pt x="756" y="1285"/>
                      <a:pt x="756" y="1285"/>
                    </a:cubicBezTo>
                    <a:cubicBezTo>
                      <a:pt x="761" y="1324"/>
                      <a:pt x="760" y="1312"/>
                      <a:pt x="790" y="1324"/>
                    </a:cubicBezTo>
                    <a:cubicBezTo>
                      <a:pt x="888" y="1310"/>
                      <a:pt x="941" y="1298"/>
                      <a:pt x="1047" y="1294"/>
                    </a:cubicBezTo>
                    <a:cubicBezTo>
                      <a:pt x="1082" y="1283"/>
                      <a:pt x="1068" y="1291"/>
                      <a:pt x="1090" y="1276"/>
                    </a:cubicBezTo>
                    <a:cubicBezTo>
                      <a:pt x="1074" y="1266"/>
                      <a:pt x="1064" y="1264"/>
                      <a:pt x="1051" y="1251"/>
                    </a:cubicBezTo>
                    <a:cubicBezTo>
                      <a:pt x="1031" y="1209"/>
                      <a:pt x="1024" y="1165"/>
                      <a:pt x="1008" y="1122"/>
                    </a:cubicBezTo>
                    <a:cubicBezTo>
                      <a:pt x="1011" y="1081"/>
                      <a:pt x="1007" y="1048"/>
                      <a:pt x="1030" y="1015"/>
                    </a:cubicBezTo>
                    <a:cubicBezTo>
                      <a:pt x="1029" y="1006"/>
                      <a:pt x="1021" y="969"/>
                      <a:pt x="1030" y="959"/>
                    </a:cubicBezTo>
                    <a:cubicBezTo>
                      <a:pt x="1032" y="957"/>
                      <a:pt x="1075" y="942"/>
                      <a:pt x="1081" y="938"/>
                    </a:cubicBezTo>
                    <a:cubicBezTo>
                      <a:pt x="1086" y="925"/>
                      <a:pt x="1094" y="899"/>
                      <a:pt x="1094" y="899"/>
                    </a:cubicBezTo>
                    <a:cubicBezTo>
                      <a:pt x="1089" y="844"/>
                      <a:pt x="1078" y="841"/>
                      <a:pt x="1128" y="831"/>
                    </a:cubicBezTo>
                    <a:cubicBezTo>
                      <a:pt x="1155" y="836"/>
                      <a:pt x="1171" y="854"/>
                      <a:pt x="1197" y="865"/>
                    </a:cubicBezTo>
                    <a:cubicBezTo>
                      <a:pt x="1218" y="834"/>
                      <a:pt x="1213" y="784"/>
                      <a:pt x="1193" y="754"/>
                    </a:cubicBezTo>
                    <a:cubicBezTo>
                      <a:pt x="1187" y="732"/>
                      <a:pt x="1188" y="710"/>
                      <a:pt x="1163" y="702"/>
                    </a:cubicBezTo>
                    <a:cubicBezTo>
                      <a:pt x="1131" y="677"/>
                      <a:pt x="1129" y="685"/>
                      <a:pt x="1124" y="642"/>
                    </a:cubicBezTo>
                    <a:cubicBezTo>
                      <a:pt x="1144" y="636"/>
                      <a:pt x="1157" y="620"/>
                      <a:pt x="1176" y="612"/>
                    </a:cubicBezTo>
                    <a:cubicBezTo>
                      <a:pt x="1190" y="606"/>
                      <a:pt x="1212" y="603"/>
                      <a:pt x="1227" y="599"/>
                    </a:cubicBezTo>
                    <a:cubicBezTo>
                      <a:pt x="1242" y="590"/>
                      <a:pt x="1244" y="579"/>
                      <a:pt x="1261" y="574"/>
                    </a:cubicBezTo>
                    <a:cubicBezTo>
                      <a:pt x="1274" y="561"/>
                      <a:pt x="1282" y="552"/>
                      <a:pt x="1287" y="535"/>
                    </a:cubicBezTo>
                    <a:cubicBezTo>
                      <a:pt x="1286" y="521"/>
                      <a:pt x="1286" y="506"/>
                      <a:pt x="1283" y="492"/>
                    </a:cubicBezTo>
                    <a:cubicBezTo>
                      <a:pt x="1276" y="460"/>
                      <a:pt x="1216" y="438"/>
                      <a:pt x="1188" y="432"/>
                    </a:cubicBezTo>
                    <a:cubicBezTo>
                      <a:pt x="1180" y="427"/>
                      <a:pt x="1164" y="428"/>
                      <a:pt x="1163" y="419"/>
                    </a:cubicBezTo>
                    <a:cubicBezTo>
                      <a:pt x="1160" y="399"/>
                      <a:pt x="1159" y="377"/>
                      <a:pt x="1167" y="359"/>
                    </a:cubicBezTo>
                    <a:cubicBezTo>
                      <a:pt x="1171" y="351"/>
                      <a:pt x="1184" y="354"/>
                      <a:pt x="1193" y="351"/>
                    </a:cubicBezTo>
                    <a:cubicBezTo>
                      <a:pt x="1218" y="343"/>
                      <a:pt x="1245" y="343"/>
                      <a:pt x="1270" y="338"/>
                    </a:cubicBezTo>
                    <a:cubicBezTo>
                      <a:pt x="1287" y="310"/>
                      <a:pt x="1265" y="320"/>
                      <a:pt x="1248" y="325"/>
                    </a:cubicBezTo>
                    <a:cubicBezTo>
                      <a:pt x="1212" y="319"/>
                      <a:pt x="1194" y="289"/>
                      <a:pt x="1158" y="278"/>
                    </a:cubicBezTo>
                    <a:cubicBezTo>
                      <a:pt x="1090" y="282"/>
                      <a:pt x="1029" y="292"/>
                      <a:pt x="961" y="295"/>
                    </a:cubicBezTo>
                    <a:cubicBezTo>
                      <a:pt x="940" y="292"/>
                      <a:pt x="917" y="293"/>
                      <a:pt x="897" y="286"/>
                    </a:cubicBezTo>
                    <a:cubicBezTo>
                      <a:pt x="864" y="275"/>
                      <a:pt x="867" y="232"/>
                      <a:pt x="846" y="214"/>
                    </a:cubicBezTo>
                    <a:cubicBezTo>
                      <a:pt x="832" y="202"/>
                      <a:pt x="811" y="193"/>
                      <a:pt x="794" y="188"/>
                    </a:cubicBezTo>
                    <a:cubicBezTo>
                      <a:pt x="783" y="173"/>
                      <a:pt x="778" y="160"/>
                      <a:pt x="768" y="145"/>
                    </a:cubicBezTo>
                    <a:cubicBezTo>
                      <a:pt x="753" y="95"/>
                      <a:pt x="726" y="58"/>
                      <a:pt x="674" y="46"/>
                    </a:cubicBezTo>
                    <a:cubicBezTo>
                      <a:pt x="653" y="33"/>
                      <a:pt x="649" y="34"/>
                      <a:pt x="623" y="38"/>
                    </a:cubicBezTo>
                    <a:cubicBezTo>
                      <a:pt x="616" y="57"/>
                      <a:pt x="615" y="70"/>
                      <a:pt x="636" y="76"/>
                    </a:cubicBezTo>
                    <a:cubicBezTo>
                      <a:pt x="640" y="82"/>
                      <a:pt x="643" y="89"/>
                      <a:pt x="648" y="94"/>
                    </a:cubicBezTo>
                    <a:cubicBezTo>
                      <a:pt x="653" y="98"/>
                      <a:pt x="661" y="97"/>
                      <a:pt x="666" y="102"/>
                    </a:cubicBezTo>
                    <a:cubicBezTo>
                      <a:pt x="669" y="105"/>
                      <a:pt x="668" y="111"/>
                      <a:pt x="670" y="115"/>
                    </a:cubicBezTo>
                    <a:cubicBezTo>
                      <a:pt x="682" y="134"/>
                      <a:pt x="700" y="152"/>
                      <a:pt x="713" y="171"/>
                    </a:cubicBezTo>
                    <a:cubicBezTo>
                      <a:pt x="722" y="201"/>
                      <a:pt x="725" y="212"/>
                      <a:pt x="756" y="218"/>
                    </a:cubicBezTo>
                    <a:cubicBezTo>
                      <a:pt x="765" y="255"/>
                      <a:pt x="754" y="261"/>
                      <a:pt x="721" y="269"/>
                    </a:cubicBezTo>
                    <a:cubicBezTo>
                      <a:pt x="685" y="262"/>
                      <a:pt x="655" y="247"/>
                      <a:pt x="623" y="231"/>
                    </a:cubicBezTo>
                    <a:cubicBezTo>
                      <a:pt x="603" y="221"/>
                      <a:pt x="579" y="217"/>
                      <a:pt x="558" y="209"/>
                    </a:cubicBezTo>
                    <a:cubicBezTo>
                      <a:pt x="542" y="192"/>
                      <a:pt x="533" y="173"/>
                      <a:pt x="520" y="154"/>
                    </a:cubicBezTo>
                    <a:cubicBezTo>
                      <a:pt x="517" y="144"/>
                      <a:pt x="514" y="134"/>
                      <a:pt x="511" y="124"/>
                    </a:cubicBezTo>
                    <a:cubicBezTo>
                      <a:pt x="510" y="120"/>
                      <a:pt x="507" y="111"/>
                      <a:pt x="507" y="111"/>
                    </a:cubicBezTo>
                    <a:cubicBezTo>
                      <a:pt x="506" y="95"/>
                      <a:pt x="510" y="78"/>
                      <a:pt x="503" y="64"/>
                    </a:cubicBezTo>
                    <a:cubicBezTo>
                      <a:pt x="499" y="55"/>
                      <a:pt x="456" y="31"/>
                      <a:pt x="447" y="29"/>
                    </a:cubicBezTo>
                    <a:cubicBezTo>
                      <a:pt x="437" y="31"/>
                      <a:pt x="420" y="31"/>
                      <a:pt x="417" y="46"/>
                    </a:cubicBezTo>
                    <a:cubicBezTo>
                      <a:pt x="405" y="118"/>
                      <a:pt x="435" y="104"/>
                      <a:pt x="400" y="115"/>
                    </a:cubicBezTo>
                    <a:cubicBezTo>
                      <a:pt x="379" y="108"/>
                      <a:pt x="359" y="67"/>
                      <a:pt x="348" y="46"/>
                    </a:cubicBezTo>
                    <a:cubicBezTo>
                      <a:pt x="330" y="11"/>
                      <a:pt x="295" y="38"/>
                      <a:pt x="314" y="8"/>
                    </a:cubicBezTo>
                    <a:close/>
                  </a:path>
                </a:pathLst>
              </a:custGeom>
              <a:solidFill>
                <a:srgbClr val="8EB4E3"/>
              </a:solidFill>
              <a:ln w="21590">
                <a:solidFill>
                  <a:srgbClr val="FFFFFF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44" name="Freeform 51">
                <a:extLst>
                  <a:ext uri="{FF2B5EF4-FFF2-40B4-BE49-F238E27FC236}">
                    <a16:creationId xmlns:a16="http://schemas.microsoft.com/office/drawing/2014/main" id="{B81D6615-0183-4849-8D14-14C037C66C4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99" y="7435"/>
                <a:ext cx="1414" cy="1602"/>
              </a:xfrm>
              <a:custGeom>
                <a:avLst/>
                <a:gdLst>
                  <a:gd name="T0" fmla="*/ 175 w 1414"/>
                  <a:gd name="T1" fmla="*/ 180 h 1602"/>
                  <a:gd name="T2" fmla="*/ 261 w 1414"/>
                  <a:gd name="T3" fmla="*/ 197 h 1602"/>
                  <a:gd name="T4" fmla="*/ 300 w 1414"/>
                  <a:gd name="T5" fmla="*/ 300 h 1602"/>
                  <a:gd name="T6" fmla="*/ 163 w 1414"/>
                  <a:gd name="T7" fmla="*/ 335 h 1602"/>
                  <a:gd name="T8" fmla="*/ 128 w 1414"/>
                  <a:gd name="T9" fmla="*/ 450 h 1602"/>
                  <a:gd name="T10" fmla="*/ 0 w 1414"/>
                  <a:gd name="T11" fmla="*/ 579 h 1602"/>
                  <a:gd name="T12" fmla="*/ 17 w 1414"/>
                  <a:gd name="T13" fmla="*/ 785 h 1602"/>
                  <a:gd name="T14" fmla="*/ 107 w 1414"/>
                  <a:gd name="T15" fmla="*/ 866 h 1602"/>
                  <a:gd name="T16" fmla="*/ 150 w 1414"/>
                  <a:gd name="T17" fmla="*/ 960 h 1602"/>
                  <a:gd name="T18" fmla="*/ 201 w 1414"/>
                  <a:gd name="T19" fmla="*/ 1085 h 1602"/>
                  <a:gd name="T20" fmla="*/ 321 w 1414"/>
                  <a:gd name="T21" fmla="*/ 1170 h 1602"/>
                  <a:gd name="T22" fmla="*/ 420 w 1414"/>
                  <a:gd name="T23" fmla="*/ 1230 h 1602"/>
                  <a:gd name="T24" fmla="*/ 390 w 1414"/>
                  <a:gd name="T25" fmla="*/ 1333 h 1602"/>
                  <a:gd name="T26" fmla="*/ 450 w 1414"/>
                  <a:gd name="T27" fmla="*/ 1513 h 1602"/>
                  <a:gd name="T28" fmla="*/ 514 w 1414"/>
                  <a:gd name="T29" fmla="*/ 1487 h 1602"/>
                  <a:gd name="T30" fmla="*/ 600 w 1414"/>
                  <a:gd name="T31" fmla="*/ 1517 h 1602"/>
                  <a:gd name="T32" fmla="*/ 630 w 1414"/>
                  <a:gd name="T33" fmla="*/ 1543 h 1602"/>
                  <a:gd name="T34" fmla="*/ 741 w 1414"/>
                  <a:gd name="T35" fmla="*/ 1479 h 1602"/>
                  <a:gd name="T36" fmla="*/ 758 w 1414"/>
                  <a:gd name="T37" fmla="*/ 1432 h 1602"/>
                  <a:gd name="T38" fmla="*/ 827 w 1414"/>
                  <a:gd name="T39" fmla="*/ 1487 h 1602"/>
                  <a:gd name="T40" fmla="*/ 887 w 1414"/>
                  <a:gd name="T41" fmla="*/ 1470 h 1602"/>
                  <a:gd name="T42" fmla="*/ 917 w 1414"/>
                  <a:gd name="T43" fmla="*/ 1586 h 1602"/>
                  <a:gd name="T44" fmla="*/ 1080 w 1414"/>
                  <a:gd name="T45" fmla="*/ 1582 h 1602"/>
                  <a:gd name="T46" fmla="*/ 1140 w 1414"/>
                  <a:gd name="T47" fmla="*/ 1415 h 1602"/>
                  <a:gd name="T48" fmla="*/ 1251 w 1414"/>
                  <a:gd name="T49" fmla="*/ 1282 h 1602"/>
                  <a:gd name="T50" fmla="*/ 1217 w 1414"/>
                  <a:gd name="T51" fmla="*/ 1119 h 1602"/>
                  <a:gd name="T52" fmla="*/ 1157 w 1414"/>
                  <a:gd name="T53" fmla="*/ 995 h 1602"/>
                  <a:gd name="T54" fmla="*/ 1114 w 1414"/>
                  <a:gd name="T55" fmla="*/ 952 h 1602"/>
                  <a:gd name="T56" fmla="*/ 1088 w 1414"/>
                  <a:gd name="T57" fmla="*/ 892 h 1602"/>
                  <a:gd name="T58" fmla="*/ 1118 w 1414"/>
                  <a:gd name="T59" fmla="*/ 853 h 1602"/>
                  <a:gd name="T60" fmla="*/ 1170 w 1414"/>
                  <a:gd name="T61" fmla="*/ 780 h 1602"/>
                  <a:gd name="T62" fmla="*/ 1264 w 1414"/>
                  <a:gd name="T63" fmla="*/ 703 h 1602"/>
                  <a:gd name="T64" fmla="*/ 1281 w 1414"/>
                  <a:gd name="T65" fmla="*/ 622 h 1602"/>
                  <a:gd name="T66" fmla="*/ 1251 w 1414"/>
                  <a:gd name="T67" fmla="*/ 523 h 1602"/>
                  <a:gd name="T68" fmla="*/ 1350 w 1414"/>
                  <a:gd name="T69" fmla="*/ 377 h 1602"/>
                  <a:gd name="T70" fmla="*/ 1397 w 1414"/>
                  <a:gd name="T71" fmla="*/ 240 h 1602"/>
                  <a:gd name="T72" fmla="*/ 1363 w 1414"/>
                  <a:gd name="T73" fmla="*/ 77 h 1602"/>
                  <a:gd name="T74" fmla="*/ 1268 w 1414"/>
                  <a:gd name="T75" fmla="*/ 43 h 1602"/>
                  <a:gd name="T76" fmla="*/ 1088 w 1414"/>
                  <a:gd name="T77" fmla="*/ 17 h 1602"/>
                  <a:gd name="T78" fmla="*/ 964 w 1414"/>
                  <a:gd name="T79" fmla="*/ 47 h 1602"/>
                  <a:gd name="T80" fmla="*/ 870 w 1414"/>
                  <a:gd name="T81" fmla="*/ 17 h 1602"/>
                  <a:gd name="T82" fmla="*/ 780 w 1414"/>
                  <a:gd name="T83" fmla="*/ 22 h 1602"/>
                  <a:gd name="T84" fmla="*/ 625 w 1414"/>
                  <a:gd name="T85" fmla="*/ 90 h 1602"/>
                  <a:gd name="T86" fmla="*/ 578 w 1414"/>
                  <a:gd name="T87" fmla="*/ 129 h 1602"/>
                  <a:gd name="T88" fmla="*/ 488 w 1414"/>
                  <a:gd name="T89" fmla="*/ 60 h 1602"/>
                  <a:gd name="T90" fmla="*/ 368 w 1414"/>
                  <a:gd name="T91" fmla="*/ 137 h 1602"/>
                  <a:gd name="T92" fmla="*/ 244 w 1414"/>
                  <a:gd name="T93" fmla="*/ 82 h 160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</a:cxnLst>
                <a:rect l="0" t="0" r="r" b="b"/>
                <a:pathLst>
                  <a:path w="1414" h="1602">
                    <a:moveTo>
                      <a:pt x="145" y="65"/>
                    </a:moveTo>
                    <a:cubicBezTo>
                      <a:pt x="152" y="81"/>
                      <a:pt x="145" y="175"/>
                      <a:pt x="175" y="180"/>
                    </a:cubicBezTo>
                    <a:cubicBezTo>
                      <a:pt x="199" y="184"/>
                      <a:pt x="224" y="183"/>
                      <a:pt x="248" y="185"/>
                    </a:cubicBezTo>
                    <a:cubicBezTo>
                      <a:pt x="252" y="189"/>
                      <a:pt x="258" y="192"/>
                      <a:pt x="261" y="197"/>
                    </a:cubicBezTo>
                    <a:cubicBezTo>
                      <a:pt x="266" y="206"/>
                      <a:pt x="270" y="227"/>
                      <a:pt x="270" y="227"/>
                    </a:cubicBezTo>
                    <a:cubicBezTo>
                      <a:pt x="274" y="275"/>
                      <a:pt x="266" y="279"/>
                      <a:pt x="300" y="300"/>
                    </a:cubicBezTo>
                    <a:cubicBezTo>
                      <a:pt x="287" y="318"/>
                      <a:pt x="279" y="317"/>
                      <a:pt x="257" y="322"/>
                    </a:cubicBezTo>
                    <a:cubicBezTo>
                      <a:pt x="229" y="318"/>
                      <a:pt x="174" y="299"/>
                      <a:pt x="163" y="335"/>
                    </a:cubicBezTo>
                    <a:cubicBezTo>
                      <a:pt x="167" y="355"/>
                      <a:pt x="169" y="375"/>
                      <a:pt x="175" y="395"/>
                    </a:cubicBezTo>
                    <a:cubicBezTo>
                      <a:pt x="170" y="435"/>
                      <a:pt x="162" y="434"/>
                      <a:pt x="128" y="450"/>
                    </a:cubicBezTo>
                    <a:cubicBezTo>
                      <a:pt x="106" y="472"/>
                      <a:pt x="85" y="497"/>
                      <a:pt x="55" y="506"/>
                    </a:cubicBezTo>
                    <a:cubicBezTo>
                      <a:pt x="35" y="528"/>
                      <a:pt x="29" y="570"/>
                      <a:pt x="0" y="579"/>
                    </a:cubicBezTo>
                    <a:cubicBezTo>
                      <a:pt x="6" y="612"/>
                      <a:pt x="17" y="646"/>
                      <a:pt x="30" y="677"/>
                    </a:cubicBezTo>
                    <a:cubicBezTo>
                      <a:pt x="27" y="722"/>
                      <a:pt x="29" y="747"/>
                      <a:pt x="17" y="785"/>
                    </a:cubicBezTo>
                    <a:cubicBezTo>
                      <a:pt x="23" y="819"/>
                      <a:pt x="34" y="816"/>
                      <a:pt x="64" y="823"/>
                    </a:cubicBezTo>
                    <a:cubicBezTo>
                      <a:pt x="94" y="839"/>
                      <a:pt x="89" y="841"/>
                      <a:pt x="107" y="866"/>
                    </a:cubicBezTo>
                    <a:cubicBezTo>
                      <a:pt x="112" y="889"/>
                      <a:pt x="123" y="910"/>
                      <a:pt x="137" y="930"/>
                    </a:cubicBezTo>
                    <a:cubicBezTo>
                      <a:pt x="148" y="978"/>
                      <a:pt x="132" y="919"/>
                      <a:pt x="150" y="960"/>
                    </a:cubicBezTo>
                    <a:cubicBezTo>
                      <a:pt x="163" y="991"/>
                      <a:pt x="174" y="1027"/>
                      <a:pt x="184" y="1059"/>
                    </a:cubicBezTo>
                    <a:cubicBezTo>
                      <a:pt x="187" y="1069"/>
                      <a:pt x="192" y="1080"/>
                      <a:pt x="201" y="1085"/>
                    </a:cubicBezTo>
                    <a:cubicBezTo>
                      <a:pt x="209" y="1090"/>
                      <a:pt x="227" y="1093"/>
                      <a:pt x="227" y="1093"/>
                    </a:cubicBezTo>
                    <a:cubicBezTo>
                      <a:pt x="242" y="1158"/>
                      <a:pt x="253" y="1159"/>
                      <a:pt x="321" y="1170"/>
                    </a:cubicBezTo>
                    <a:cubicBezTo>
                      <a:pt x="343" y="1201"/>
                      <a:pt x="329" y="1220"/>
                      <a:pt x="368" y="1235"/>
                    </a:cubicBezTo>
                    <a:cubicBezTo>
                      <a:pt x="385" y="1233"/>
                      <a:pt x="403" y="1230"/>
                      <a:pt x="420" y="1230"/>
                    </a:cubicBezTo>
                    <a:cubicBezTo>
                      <a:pt x="425" y="1230"/>
                      <a:pt x="432" y="1230"/>
                      <a:pt x="433" y="1235"/>
                    </a:cubicBezTo>
                    <a:cubicBezTo>
                      <a:pt x="440" y="1269"/>
                      <a:pt x="406" y="1307"/>
                      <a:pt x="390" y="1333"/>
                    </a:cubicBezTo>
                    <a:cubicBezTo>
                      <a:pt x="393" y="1366"/>
                      <a:pt x="398" y="1385"/>
                      <a:pt x="407" y="1415"/>
                    </a:cubicBezTo>
                    <a:cubicBezTo>
                      <a:pt x="403" y="1477"/>
                      <a:pt x="384" y="1505"/>
                      <a:pt x="450" y="1513"/>
                    </a:cubicBezTo>
                    <a:cubicBezTo>
                      <a:pt x="470" y="1509"/>
                      <a:pt x="491" y="1508"/>
                      <a:pt x="510" y="1500"/>
                    </a:cubicBezTo>
                    <a:cubicBezTo>
                      <a:pt x="514" y="1498"/>
                      <a:pt x="511" y="1490"/>
                      <a:pt x="514" y="1487"/>
                    </a:cubicBezTo>
                    <a:cubicBezTo>
                      <a:pt x="522" y="1477"/>
                      <a:pt x="533" y="1474"/>
                      <a:pt x="544" y="1470"/>
                    </a:cubicBezTo>
                    <a:cubicBezTo>
                      <a:pt x="580" y="1479"/>
                      <a:pt x="586" y="1482"/>
                      <a:pt x="600" y="1517"/>
                    </a:cubicBezTo>
                    <a:cubicBezTo>
                      <a:pt x="601" y="1530"/>
                      <a:pt x="598" y="1544"/>
                      <a:pt x="604" y="1556"/>
                    </a:cubicBezTo>
                    <a:cubicBezTo>
                      <a:pt x="608" y="1565"/>
                      <a:pt x="620" y="1544"/>
                      <a:pt x="630" y="1543"/>
                    </a:cubicBezTo>
                    <a:cubicBezTo>
                      <a:pt x="662" y="1538"/>
                      <a:pt x="728" y="1535"/>
                      <a:pt x="728" y="1535"/>
                    </a:cubicBezTo>
                    <a:cubicBezTo>
                      <a:pt x="721" y="1512"/>
                      <a:pt x="724" y="1496"/>
                      <a:pt x="741" y="1479"/>
                    </a:cubicBezTo>
                    <a:cubicBezTo>
                      <a:pt x="747" y="1460"/>
                      <a:pt x="743" y="1438"/>
                      <a:pt x="750" y="1419"/>
                    </a:cubicBezTo>
                    <a:cubicBezTo>
                      <a:pt x="752" y="1414"/>
                      <a:pt x="753" y="1430"/>
                      <a:pt x="758" y="1432"/>
                    </a:cubicBezTo>
                    <a:cubicBezTo>
                      <a:pt x="770" y="1436"/>
                      <a:pt x="784" y="1435"/>
                      <a:pt x="797" y="1436"/>
                    </a:cubicBezTo>
                    <a:cubicBezTo>
                      <a:pt x="808" y="1471"/>
                      <a:pt x="786" y="1479"/>
                      <a:pt x="827" y="1487"/>
                    </a:cubicBezTo>
                    <a:cubicBezTo>
                      <a:pt x="858" y="1477"/>
                      <a:pt x="840" y="1448"/>
                      <a:pt x="865" y="1432"/>
                    </a:cubicBezTo>
                    <a:cubicBezTo>
                      <a:pt x="886" y="1461"/>
                      <a:pt x="880" y="1447"/>
                      <a:pt x="887" y="1470"/>
                    </a:cubicBezTo>
                    <a:cubicBezTo>
                      <a:pt x="892" y="1536"/>
                      <a:pt x="896" y="1518"/>
                      <a:pt x="913" y="1569"/>
                    </a:cubicBezTo>
                    <a:cubicBezTo>
                      <a:pt x="915" y="1575"/>
                      <a:pt x="913" y="1581"/>
                      <a:pt x="917" y="1586"/>
                    </a:cubicBezTo>
                    <a:cubicBezTo>
                      <a:pt x="922" y="1592"/>
                      <a:pt x="939" y="1597"/>
                      <a:pt x="947" y="1599"/>
                    </a:cubicBezTo>
                    <a:cubicBezTo>
                      <a:pt x="1090" y="1594"/>
                      <a:pt x="1016" y="1602"/>
                      <a:pt x="1080" y="1582"/>
                    </a:cubicBezTo>
                    <a:cubicBezTo>
                      <a:pt x="1109" y="1563"/>
                      <a:pt x="1121" y="1541"/>
                      <a:pt x="1140" y="1513"/>
                    </a:cubicBezTo>
                    <a:cubicBezTo>
                      <a:pt x="1150" y="1479"/>
                      <a:pt x="1146" y="1450"/>
                      <a:pt x="1140" y="1415"/>
                    </a:cubicBezTo>
                    <a:cubicBezTo>
                      <a:pt x="1147" y="1382"/>
                      <a:pt x="1168" y="1377"/>
                      <a:pt x="1195" y="1359"/>
                    </a:cubicBezTo>
                    <a:cubicBezTo>
                      <a:pt x="1221" y="1341"/>
                      <a:pt x="1228" y="1302"/>
                      <a:pt x="1251" y="1282"/>
                    </a:cubicBezTo>
                    <a:cubicBezTo>
                      <a:pt x="1260" y="1275"/>
                      <a:pt x="1279" y="1268"/>
                      <a:pt x="1290" y="1265"/>
                    </a:cubicBezTo>
                    <a:cubicBezTo>
                      <a:pt x="1261" y="1217"/>
                      <a:pt x="1253" y="1166"/>
                      <a:pt x="1217" y="1119"/>
                    </a:cubicBezTo>
                    <a:cubicBezTo>
                      <a:pt x="1208" y="1090"/>
                      <a:pt x="1194" y="1027"/>
                      <a:pt x="1170" y="1012"/>
                    </a:cubicBezTo>
                    <a:cubicBezTo>
                      <a:pt x="1166" y="1006"/>
                      <a:pt x="1162" y="1000"/>
                      <a:pt x="1157" y="995"/>
                    </a:cubicBezTo>
                    <a:cubicBezTo>
                      <a:pt x="1149" y="988"/>
                      <a:pt x="1131" y="977"/>
                      <a:pt x="1131" y="977"/>
                    </a:cubicBezTo>
                    <a:cubicBezTo>
                      <a:pt x="1125" y="969"/>
                      <a:pt x="1120" y="960"/>
                      <a:pt x="1114" y="952"/>
                    </a:cubicBezTo>
                    <a:cubicBezTo>
                      <a:pt x="1111" y="948"/>
                      <a:pt x="1105" y="939"/>
                      <a:pt x="1105" y="939"/>
                    </a:cubicBezTo>
                    <a:cubicBezTo>
                      <a:pt x="1101" y="922"/>
                      <a:pt x="1094" y="908"/>
                      <a:pt x="1088" y="892"/>
                    </a:cubicBezTo>
                    <a:cubicBezTo>
                      <a:pt x="1090" y="882"/>
                      <a:pt x="1089" y="871"/>
                      <a:pt x="1093" y="862"/>
                    </a:cubicBezTo>
                    <a:cubicBezTo>
                      <a:pt x="1094" y="860"/>
                      <a:pt x="1117" y="854"/>
                      <a:pt x="1118" y="853"/>
                    </a:cubicBezTo>
                    <a:cubicBezTo>
                      <a:pt x="1134" y="845"/>
                      <a:pt x="1147" y="834"/>
                      <a:pt x="1157" y="819"/>
                    </a:cubicBezTo>
                    <a:cubicBezTo>
                      <a:pt x="1161" y="806"/>
                      <a:pt x="1158" y="787"/>
                      <a:pt x="1170" y="780"/>
                    </a:cubicBezTo>
                    <a:cubicBezTo>
                      <a:pt x="1192" y="767"/>
                      <a:pt x="1221" y="774"/>
                      <a:pt x="1247" y="772"/>
                    </a:cubicBezTo>
                    <a:cubicBezTo>
                      <a:pt x="1252" y="754"/>
                      <a:pt x="1254" y="717"/>
                      <a:pt x="1264" y="703"/>
                    </a:cubicBezTo>
                    <a:cubicBezTo>
                      <a:pt x="1270" y="694"/>
                      <a:pt x="1281" y="692"/>
                      <a:pt x="1290" y="686"/>
                    </a:cubicBezTo>
                    <a:cubicBezTo>
                      <a:pt x="1297" y="663"/>
                      <a:pt x="1295" y="642"/>
                      <a:pt x="1281" y="622"/>
                    </a:cubicBezTo>
                    <a:cubicBezTo>
                      <a:pt x="1271" y="590"/>
                      <a:pt x="1285" y="629"/>
                      <a:pt x="1268" y="596"/>
                    </a:cubicBezTo>
                    <a:cubicBezTo>
                      <a:pt x="1257" y="574"/>
                      <a:pt x="1256" y="546"/>
                      <a:pt x="1251" y="523"/>
                    </a:cubicBezTo>
                    <a:cubicBezTo>
                      <a:pt x="1256" y="481"/>
                      <a:pt x="1258" y="447"/>
                      <a:pt x="1303" y="433"/>
                    </a:cubicBezTo>
                    <a:cubicBezTo>
                      <a:pt x="1333" y="413"/>
                      <a:pt x="1326" y="393"/>
                      <a:pt x="1350" y="377"/>
                    </a:cubicBezTo>
                    <a:cubicBezTo>
                      <a:pt x="1355" y="356"/>
                      <a:pt x="1382" y="330"/>
                      <a:pt x="1401" y="317"/>
                    </a:cubicBezTo>
                    <a:cubicBezTo>
                      <a:pt x="1414" y="292"/>
                      <a:pt x="1413" y="265"/>
                      <a:pt x="1397" y="240"/>
                    </a:cubicBezTo>
                    <a:cubicBezTo>
                      <a:pt x="1390" y="230"/>
                      <a:pt x="1375" y="210"/>
                      <a:pt x="1375" y="210"/>
                    </a:cubicBezTo>
                    <a:cubicBezTo>
                      <a:pt x="1371" y="94"/>
                      <a:pt x="1381" y="137"/>
                      <a:pt x="1363" y="77"/>
                    </a:cubicBezTo>
                    <a:cubicBezTo>
                      <a:pt x="1361" y="71"/>
                      <a:pt x="1332" y="66"/>
                      <a:pt x="1328" y="65"/>
                    </a:cubicBezTo>
                    <a:cubicBezTo>
                      <a:pt x="1311" y="59"/>
                      <a:pt x="1286" y="51"/>
                      <a:pt x="1268" y="43"/>
                    </a:cubicBezTo>
                    <a:cubicBezTo>
                      <a:pt x="1249" y="34"/>
                      <a:pt x="1237" y="19"/>
                      <a:pt x="1217" y="13"/>
                    </a:cubicBezTo>
                    <a:cubicBezTo>
                      <a:pt x="1169" y="19"/>
                      <a:pt x="1138" y="21"/>
                      <a:pt x="1088" y="17"/>
                    </a:cubicBezTo>
                    <a:cubicBezTo>
                      <a:pt x="1074" y="13"/>
                      <a:pt x="1064" y="5"/>
                      <a:pt x="1050" y="0"/>
                    </a:cubicBezTo>
                    <a:cubicBezTo>
                      <a:pt x="1013" y="15"/>
                      <a:pt x="1004" y="38"/>
                      <a:pt x="964" y="47"/>
                    </a:cubicBezTo>
                    <a:cubicBezTo>
                      <a:pt x="962" y="47"/>
                      <a:pt x="919" y="42"/>
                      <a:pt x="913" y="39"/>
                    </a:cubicBezTo>
                    <a:cubicBezTo>
                      <a:pt x="898" y="33"/>
                      <a:pt x="885" y="22"/>
                      <a:pt x="870" y="17"/>
                    </a:cubicBezTo>
                    <a:cubicBezTo>
                      <a:pt x="861" y="14"/>
                      <a:pt x="844" y="9"/>
                      <a:pt x="844" y="9"/>
                    </a:cubicBezTo>
                    <a:cubicBezTo>
                      <a:pt x="820" y="12"/>
                      <a:pt x="802" y="14"/>
                      <a:pt x="780" y="22"/>
                    </a:cubicBezTo>
                    <a:cubicBezTo>
                      <a:pt x="745" y="72"/>
                      <a:pt x="743" y="60"/>
                      <a:pt x="664" y="65"/>
                    </a:cubicBezTo>
                    <a:cubicBezTo>
                      <a:pt x="643" y="70"/>
                      <a:pt x="642" y="79"/>
                      <a:pt x="625" y="90"/>
                    </a:cubicBezTo>
                    <a:cubicBezTo>
                      <a:pt x="617" y="89"/>
                      <a:pt x="605" y="80"/>
                      <a:pt x="600" y="86"/>
                    </a:cubicBezTo>
                    <a:cubicBezTo>
                      <a:pt x="553" y="140"/>
                      <a:pt x="626" y="118"/>
                      <a:pt x="578" y="129"/>
                    </a:cubicBezTo>
                    <a:cubicBezTo>
                      <a:pt x="564" y="125"/>
                      <a:pt x="553" y="120"/>
                      <a:pt x="540" y="112"/>
                    </a:cubicBezTo>
                    <a:cubicBezTo>
                      <a:pt x="526" y="91"/>
                      <a:pt x="509" y="74"/>
                      <a:pt x="488" y="60"/>
                    </a:cubicBezTo>
                    <a:cubicBezTo>
                      <a:pt x="475" y="103"/>
                      <a:pt x="477" y="97"/>
                      <a:pt x="428" y="103"/>
                    </a:cubicBezTo>
                    <a:cubicBezTo>
                      <a:pt x="401" y="111"/>
                      <a:pt x="395" y="129"/>
                      <a:pt x="368" y="137"/>
                    </a:cubicBezTo>
                    <a:cubicBezTo>
                      <a:pt x="340" y="122"/>
                      <a:pt x="313" y="104"/>
                      <a:pt x="283" y="95"/>
                    </a:cubicBezTo>
                    <a:cubicBezTo>
                      <a:pt x="270" y="91"/>
                      <a:pt x="244" y="82"/>
                      <a:pt x="244" y="82"/>
                    </a:cubicBezTo>
                    <a:cubicBezTo>
                      <a:pt x="220" y="83"/>
                      <a:pt x="145" y="105"/>
                      <a:pt x="145" y="65"/>
                    </a:cubicBezTo>
                    <a:close/>
                  </a:path>
                </a:pathLst>
              </a:custGeom>
              <a:solidFill>
                <a:schemeClr val="tx2">
                  <a:lumMod val="60000"/>
                  <a:lumOff val="40000"/>
                </a:schemeClr>
              </a:solidFill>
              <a:ln w="21590" cap="flat" cmpd="sng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45" name="Freeform 52">
                <a:extLst>
                  <a:ext uri="{FF2B5EF4-FFF2-40B4-BE49-F238E27FC236}">
                    <a16:creationId xmlns:a16="http://schemas.microsoft.com/office/drawing/2014/main" id="{F3F73982-37A5-4BA7-AF0E-DE279921D5C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133" y="4401"/>
                <a:ext cx="1440" cy="2056"/>
              </a:xfrm>
              <a:custGeom>
                <a:avLst/>
                <a:gdLst>
                  <a:gd name="T0" fmla="*/ 35 w 580"/>
                  <a:gd name="T1" fmla="*/ 197 h 867"/>
                  <a:gd name="T2" fmla="*/ 53 w 580"/>
                  <a:gd name="T3" fmla="*/ 242 h 867"/>
                  <a:gd name="T4" fmla="*/ 26 w 580"/>
                  <a:gd name="T5" fmla="*/ 277 h 867"/>
                  <a:gd name="T6" fmla="*/ 26 w 580"/>
                  <a:gd name="T7" fmla="*/ 340 h 867"/>
                  <a:gd name="T8" fmla="*/ 80 w 580"/>
                  <a:gd name="T9" fmla="*/ 375 h 867"/>
                  <a:gd name="T10" fmla="*/ 116 w 580"/>
                  <a:gd name="T11" fmla="*/ 429 h 867"/>
                  <a:gd name="T12" fmla="*/ 169 w 580"/>
                  <a:gd name="T13" fmla="*/ 465 h 867"/>
                  <a:gd name="T14" fmla="*/ 187 w 580"/>
                  <a:gd name="T15" fmla="*/ 500 h 867"/>
                  <a:gd name="T16" fmla="*/ 196 w 580"/>
                  <a:gd name="T17" fmla="*/ 563 h 867"/>
                  <a:gd name="T18" fmla="*/ 205 w 580"/>
                  <a:gd name="T19" fmla="*/ 590 h 867"/>
                  <a:gd name="T20" fmla="*/ 169 w 580"/>
                  <a:gd name="T21" fmla="*/ 608 h 867"/>
                  <a:gd name="T22" fmla="*/ 152 w 580"/>
                  <a:gd name="T23" fmla="*/ 634 h 867"/>
                  <a:gd name="T24" fmla="*/ 89 w 580"/>
                  <a:gd name="T25" fmla="*/ 643 h 867"/>
                  <a:gd name="T26" fmla="*/ 62 w 580"/>
                  <a:gd name="T27" fmla="*/ 679 h 867"/>
                  <a:gd name="T28" fmla="*/ 26 w 580"/>
                  <a:gd name="T29" fmla="*/ 706 h 867"/>
                  <a:gd name="T30" fmla="*/ 35 w 580"/>
                  <a:gd name="T31" fmla="*/ 795 h 867"/>
                  <a:gd name="T32" fmla="*/ 80 w 580"/>
                  <a:gd name="T33" fmla="*/ 813 h 867"/>
                  <a:gd name="T34" fmla="*/ 107 w 580"/>
                  <a:gd name="T35" fmla="*/ 813 h 867"/>
                  <a:gd name="T36" fmla="*/ 143 w 580"/>
                  <a:gd name="T37" fmla="*/ 822 h 867"/>
                  <a:gd name="T38" fmla="*/ 143 w 580"/>
                  <a:gd name="T39" fmla="*/ 849 h 867"/>
                  <a:gd name="T40" fmla="*/ 178 w 580"/>
                  <a:gd name="T41" fmla="*/ 858 h 867"/>
                  <a:gd name="T42" fmla="*/ 223 w 580"/>
                  <a:gd name="T43" fmla="*/ 867 h 867"/>
                  <a:gd name="T44" fmla="*/ 241 w 580"/>
                  <a:gd name="T45" fmla="*/ 840 h 867"/>
                  <a:gd name="T46" fmla="*/ 259 w 580"/>
                  <a:gd name="T47" fmla="*/ 804 h 867"/>
                  <a:gd name="T48" fmla="*/ 286 w 580"/>
                  <a:gd name="T49" fmla="*/ 786 h 867"/>
                  <a:gd name="T50" fmla="*/ 286 w 580"/>
                  <a:gd name="T51" fmla="*/ 742 h 867"/>
                  <a:gd name="T52" fmla="*/ 294 w 580"/>
                  <a:gd name="T53" fmla="*/ 697 h 867"/>
                  <a:gd name="T54" fmla="*/ 330 w 580"/>
                  <a:gd name="T55" fmla="*/ 688 h 867"/>
                  <a:gd name="T56" fmla="*/ 330 w 580"/>
                  <a:gd name="T57" fmla="*/ 634 h 867"/>
                  <a:gd name="T58" fmla="*/ 321 w 580"/>
                  <a:gd name="T59" fmla="*/ 581 h 867"/>
                  <a:gd name="T60" fmla="*/ 339 w 580"/>
                  <a:gd name="T61" fmla="*/ 545 h 867"/>
                  <a:gd name="T62" fmla="*/ 366 w 580"/>
                  <a:gd name="T63" fmla="*/ 536 h 867"/>
                  <a:gd name="T64" fmla="*/ 402 w 580"/>
                  <a:gd name="T65" fmla="*/ 527 h 867"/>
                  <a:gd name="T66" fmla="*/ 419 w 580"/>
                  <a:gd name="T67" fmla="*/ 545 h 867"/>
                  <a:gd name="T68" fmla="*/ 446 w 580"/>
                  <a:gd name="T69" fmla="*/ 554 h 867"/>
                  <a:gd name="T70" fmla="*/ 482 w 580"/>
                  <a:gd name="T71" fmla="*/ 536 h 867"/>
                  <a:gd name="T72" fmla="*/ 527 w 580"/>
                  <a:gd name="T73" fmla="*/ 527 h 867"/>
                  <a:gd name="T74" fmla="*/ 545 w 580"/>
                  <a:gd name="T75" fmla="*/ 509 h 867"/>
                  <a:gd name="T76" fmla="*/ 518 w 580"/>
                  <a:gd name="T77" fmla="*/ 500 h 867"/>
                  <a:gd name="T78" fmla="*/ 509 w 580"/>
                  <a:gd name="T79" fmla="*/ 474 h 867"/>
                  <a:gd name="T80" fmla="*/ 545 w 580"/>
                  <a:gd name="T81" fmla="*/ 474 h 867"/>
                  <a:gd name="T82" fmla="*/ 553 w 580"/>
                  <a:gd name="T83" fmla="*/ 447 h 867"/>
                  <a:gd name="T84" fmla="*/ 571 w 580"/>
                  <a:gd name="T85" fmla="*/ 429 h 867"/>
                  <a:gd name="T86" fmla="*/ 580 w 580"/>
                  <a:gd name="T87" fmla="*/ 420 h 867"/>
                  <a:gd name="T88" fmla="*/ 545 w 580"/>
                  <a:gd name="T89" fmla="*/ 402 h 867"/>
                  <a:gd name="T90" fmla="*/ 527 w 580"/>
                  <a:gd name="T91" fmla="*/ 384 h 867"/>
                  <a:gd name="T92" fmla="*/ 553 w 580"/>
                  <a:gd name="T93" fmla="*/ 367 h 867"/>
                  <a:gd name="T94" fmla="*/ 527 w 580"/>
                  <a:gd name="T95" fmla="*/ 313 h 867"/>
                  <a:gd name="T96" fmla="*/ 428 w 580"/>
                  <a:gd name="T97" fmla="*/ 304 h 867"/>
                  <a:gd name="T98" fmla="*/ 464 w 580"/>
                  <a:gd name="T99" fmla="*/ 259 h 867"/>
                  <a:gd name="T100" fmla="*/ 527 w 580"/>
                  <a:gd name="T101" fmla="*/ 152 h 867"/>
                  <a:gd name="T102" fmla="*/ 482 w 580"/>
                  <a:gd name="T103" fmla="*/ 99 h 867"/>
                  <a:gd name="T104" fmla="*/ 437 w 580"/>
                  <a:gd name="T105" fmla="*/ 45 h 867"/>
                  <a:gd name="T106" fmla="*/ 384 w 580"/>
                  <a:gd name="T107" fmla="*/ 27 h 867"/>
                  <a:gd name="T108" fmla="*/ 339 w 580"/>
                  <a:gd name="T109" fmla="*/ 0 h 867"/>
                  <a:gd name="T110" fmla="*/ 286 w 580"/>
                  <a:gd name="T111" fmla="*/ 36 h 867"/>
                  <a:gd name="T112" fmla="*/ 241 w 580"/>
                  <a:gd name="T113" fmla="*/ 81 h 867"/>
                  <a:gd name="T114" fmla="*/ 205 w 580"/>
                  <a:gd name="T115" fmla="*/ 99 h 867"/>
                  <a:gd name="T116" fmla="*/ 152 w 580"/>
                  <a:gd name="T117" fmla="*/ 99 h 867"/>
                  <a:gd name="T118" fmla="*/ 62 w 580"/>
                  <a:gd name="T119" fmla="*/ 63 h 867"/>
                  <a:gd name="T120" fmla="*/ 26 w 580"/>
                  <a:gd name="T121" fmla="*/ 54 h 867"/>
                  <a:gd name="T122" fmla="*/ 18 w 580"/>
                  <a:gd name="T123" fmla="*/ 108 h 867"/>
                  <a:gd name="T124" fmla="*/ 0 w 580"/>
                  <a:gd name="T125" fmla="*/ 152 h 86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  <a:cxn ang="0">
                    <a:pos x="T124" y="T125"/>
                  </a:cxn>
                </a:cxnLst>
                <a:rect l="0" t="0" r="r" b="b"/>
                <a:pathLst>
                  <a:path w="580" h="867">
                    <a:moveTo>
                      <a:pt x="0" y="152"/>
                    </a:moveTo>
                    <a:lnTo>
                      <a:pt x="0" y="161"/>
                    </a:lnTo>
                    <a:lnTo>
                      <a:pt x="9" y="161"/>
                    </a:lnTo>
                    <a:lnTo>
                      <a:pt x="9" y="161"/>
                    </a:lnTo>
                    <a:lnTo>
                      <a:pt x="9" y="161"/>
                    </a:lnTo>
                    <a:lnTo>
                      <a:pt x="9" y="161"/>
                    </a:lnTo>
                    <a:lnTo>
                      <a:pt x="18" y="161"/>
                    </a:lnTo>
                    <a:lnTo>
                      <a:pt x="18" y="170"/>
                    </a:lnTo>
                    <a:lnTo>
                      <a:pt x="18" y="170"/>
                    </a:lnTo>
                    <a:lnTo>
                      <a:pt x="26" y="170"/>
                    </a:lnTo>
                    <a:lnTo>
                      <a:pt x="26" y="179"/>
                    </a:lnTo>
                    <a:lnTo>
                      <a:pt x="26" y="179"/>
                    </a:lnTo>
                    <a:lnTo>
                      <a:pt x="26" y="179"/>
                    </a:lnTo>
                    <a:lnTo>
                      <a:pt x="35" y="188"/>
                    </a:lnTo>
                    <a:lnTo>
                      <a:pt x="35" y="188"/>
                    </a:lnTo>
                    <a:lnTo>
                      <a:pt x="35" y="188"/>
                    </a:lnTo>
                    <a:lnTo>
                      <a:pt x="35" y="197"/>
                    </a:lnTo>
                    <a:lnTo>
                      <a:pt x="44" y="197"/>
                    </a:lnTo>
                    <a:lnTo>
                      <a:pt x="44" y="197"/>
                    </a:lnTo>
                    <a:lnTo>
                      <a:pt x="44" y="197"/>
                    </a:lnTo>
                    <a:lnTo>
                      <a:pt x="53" y="206"/>
                    </a:lnTo>
                    <a:lnTo>
                      <a:pt x="53" y="206"/>
                    </a:lnTo>
                    <a:lnTo>
                      <a:pt x="53" y="206"/>
                    </a:lnTo>
                    <a:lnTo>
                      <a:pt x="53" y="215"/>
                    </a:lnTo>
                    <a:lnTo>
                      <a:pt x="53" y="215"/>
                    </a:lnTo>
                    <a:lnTo>
                      <a:pt x="53" y="215"/>
                    </a:lnTo>
                    <a:lnTo>
                      <a:pt x="53" y="224"/>
                    </a:lnTo>
                    <a:lnTo>
                      <a:pt x="53" y="224"/>
                    </a:lnTo>
                    <a:lnTo>
                      <a:pt x="53" y="224"/>
                    </a:lnTo>
                    <a:lnTo>
                      <a:pt x="53" y="233"/>
                    </a:lnTo>
                    <a:lnTo>
                      <a:pt x="53" y="233"/>
                    </a:lnTo>
                    <a:lnTo>
                      <a:pt x="53" y="242"/>
                    </a:lnTo>
                    <a:lnTo>
                      <a:pt x="53" y="242"/>
                    </a:lnTo>
                    <a:lnTo>
                      <a:pt x="53" y="242"/>
                    </a:lnTo>
                    <a:lnTo>
                      <a:pt x="53" y="250"/>
                    </a:lnTo>
                    <a:lnTo>
                      <a:pt x="53" y="250"/>
                    </a:lnTo>
                    <a:lnTo>
                      <a:pt x="53" y="250"/>
                    </a:lnTo>
                    <a:lnTo>
                      <a:pt x="53" y="250"/>
                    </a:lnTo>
                    <a:lnTo>
                      <a:pt x="53" y="259"/>
                    </a:lnTo>
                    <a:lnTo>
                      <a:pt x="53" y="259"/>
                    </a:lnTo>
                    <a:lnTo>
                      <a:pt x="53" y="259"/>
                    </a:lnTo>
                    <a:lnTo>
                      <a:pt x="53" y="259"/>
                    </a:lnTo>
                    <a:lnTo>
                      <a:pt x="44" y="259"/>
                    </a:lnTo>
                    <a:lnTo>
                      <a:pt x="44" y="268"/>
                    </a:lnTo>
                    <a:lnTo>
                      <a:pt x="44" y="268"/>
                    </a:lnTo>
                    <a:lnTo>
                      <a:pt x="35" y="268"/>
                    </a:lnTo>
                    <a:lnTo>
                      <a:pt x="35" y="268"/>
                    </a:lnTo>
                    <a:lnTo>
                      <a:pt x="35" y="268"/>
                    </a:lnTo>
                    <a:lnTo>
                      <a:pt x="35" y="268"/>
                    </a:lnTo>
                    <a:lnTo>
                      <a:pt x="26" y="268"/>
                    </a:lnTo>
                    <a:lnTo>
                      <a:pt x="26" y="277"/>
                    </a:lnTo>
                    <a:lnTo>
                      <a:pt x="26" y="277"/>
                    </a:lnTo>
                    <a:lnTo>
                      <a:pt x="26" y="277"/>
                    </a:lnTo>
                    <a:lnTo>
                      <a:pt x="26" y="286"/>
                    </a:lnTo>
                    <a:lnTo>
                      <a:pt x="26" y="286"/>
                    </a:lnTo>
                    <a:lnTo>
                      <a:pt x="26" y="286"/>
                    </a:lnTo>
                    <a:lnTo>
                      <a:pt x="26" y="295"/>
                    </a:lnTo>
                    <a:lnTo>
                      <a:pt x="26" y="295"/>
                    </a:lnTo>
                    <a:lnTo>
                      <a:pt x="26" y="304"/>
                    </a:lnTo>
                    <a:lnTo>
                      <a:pt x="18" y="304"/>
                    </a:lnTo>
                    <a:lnTo>
                      <a:pt x="18" y="313"/>
                    </a:lnTo>
                    <a:lnTo>
                      <a:pt x="18" y="322"/>
                    </a:lnTo>
                    <a:lnTo>
                      <a:pt x="18" y="322"/>
                    </a:lnTo>
                    <a:lnTo>
                      <a:pt x="18" y="331"/>
                    </a:lnTo>
                    <a:lnTo>
                      <a:pt x="26" y="331"/>
                    </a:lnTo>
                    <a:lnTo>
                      <a:pt x="26" y="340"/>
                    </a:lnTo>
                    <a:lnTo>
                      <a:pt x="26" y="340"/>
                    </a:lnTo>
                    <a:lnTo>
                      <a:pt x="26" y="340"/>
                    </a:lnTo>
                    <a:lnTo>
                      <a:pt x="35" y="340"/>
                    </a:lnTo>
                    <a:lnTo>
                      <a:pt x="35" y="340"/>
                    </a:lnTo>
                    <a:lnTo>
                      <a:pt x="44" y="340"/>
                    </a:lnTo>
                    <a:lnTo>
                      <a:pt x="44" y="349"/>
                    </a:lnTo>
                    <a:lnTo>
                      <a:pt x="44" y="349"/>
                    </a:lnTo>
                    <a:lnTo>
                      <a:pt x="53" y="349"/>
                    </a:lnTo>
                    <a:lnTo>
                      <a:pt x="53" y="349"/>
                    </a:lnTo>
                    <a:lnTo>
                      <a:pt x="62" y="349"/>
                    </a:lnTo>
                    <a:lnTo>
                      <a:pt x="62" y="358"/>
                    </a:lnTo>
                    <a:lnTo>
                      <a:pt x="62" y="358"/>
                    </a:lnTo>
                    <a:lnTo>
                      <a:pt x="71" y="358"/>
                    </a:lnTo>
                    <a:lnTo>
                      <a:pt x="71" y="358"/>
                    </a:lnTo>
                    <a:lnTo>
                      <a:pt x="71" y="358"/>
                    </a:lnTo>
                    <a:lnTo>
                      <a:pt x="80" y="367"/>
                    </a:lnTo>
                    <a:lnTo>
                      <a:pt x="80" y="367"/>
                    </a:lnTo>
                    <a:lnTo>
                      <a:pt x="80" y="367"/>
                    </a:lnTo>
                    <a:lnTo>
                      <a:pt x="80" y="375"/>
                    </a:lnTo>
                    <a:lnTo>
                      <a:pt x="80" y="375"/>
                    </a:lnTo>
                    <a:lnTo>
                      <a:pt x="89" y="375"/>
                    </a:lnTo>
                    <a:lnTo>
                      <a:pt x="89" y="384"/>
                    </a:lnTo>
                    <a:lnTo>
                      <a:pt x="89" y="384"/>
                    </a:lnTo>
                    <a:lnTo>
                      <a:pt x="89" y="384"/>
                    </a:lnTo>
                    <a:lnTo>
                      <a:pt x="89" y="384"/>
                    </a:lnTo>
                    <a:lnTo>
                      <a:pt x="98" y="393"/>
                    </a:lnTo>
                    <a:lnTo>
                      <a:pt x="98" y="393"/>
                    </a:lnTo>
                    <a:lnTo>
                      <a:pt x="98" y="393"/>
                    </a:lnTo>
                    <a:lnTo>
                      <a:pt x="98" y="393"/>
                    </a:lnTo>
                    <a:lnTo>
                      <a:pt x="107" y="393"/>
                    </a:lnTo>
                    <a:lnTo>
                      <a:pt x="107" y="402"/>
                    </a:lnTo>
                    <a:lnTo>
                      <a:pt x="107" y="402"/>
                    </a:lnTo>
                    <a:lnTo>
                      <a:pt x="107" y="411"/>
                    </a:lnTo>
                    <a:lnTo>
                      <a:pt x="107" y="411"/>
                    </a:lnTo>
                    <a:lnTo>
                      <a:pt x="116" y="420"/>
                    </a:lnTo>
                    <a:lnTo>
                      <a:pt x="116" y="429"/>
                    </a:lnTo>
                    <a:lnTo>
                      <a:pt x="116" y="429"/>
                    </a:lnTo>
                    <a:lnTo>
                      <a:pt x="116" y="438"/>
                    </a:lnTo>
                    <a:lnTo>
                      <a:pt x="125" y="438"/>
                    </a:lnTo>
                    <a:lnTo>
                      <a:pt x="125" y="447"/>
                    </a:lnTo>
                    <a:lnTo>
                      <a:pt x="125" y="447"/>
                    </a:lnTo>
                    <a:lnTo>
                      <a:pt x="134" y="447"/>
                    </a:lnTo>
                    <a:lnTo>
                      <a:pt x="134" y="456"/>
                    </a:lnTo>
                    <a:lnTo>
                      <a:pt x="143" y="456"/>
                    </a:lnTo>
                    <a:lnTo>
                      <a:pt x="143" y="456"/>
                    </a:lnTo>
                    <a:lnTo>
                      <a:pt x="143" y="456"/>
                    </a:lnTo>
                    <a:lnTo>
                      <a:pt x="152" y="456"/>
                    </a:lnTo>
                    <a:lnTo>
                      <a:pt x="152" y="456"/>
                    </a:lnTo>
                    <a:lnTo>
                      <a:pt x="152" y="465"/>
                    </a:lnTo>
                    <a:lnTo>
                      <a:pt x="160" y="465"/>
                    </a:lnTo>
                    <a:lnTo>
                      <a:pt x="160" y="465"/>
                    </a:lnTo>
                    <a:lnTo>
                      <a:pt x="160" y="465"/>
                    </a:lnTo>
                    <a:lnTo>
                      <a:pt x="169" y="465"/>
                    </a:lnTo>
                    <a:lnTo>
                      <a:pt x="169" y="465"/>
                    </a:lnTo>
                    <a:lnTo>
                      <a:pt x="169" y="465"/>
                    </a:lnTo>
                    <a:lnTo>
                      <a:pt x="169" y="465"/>
                    </a:lnTo>
                    <a:lnTo>
                      <a:pt x="178" y="465"/>
                    </a:lnTo>
                    <a:lnTo>
                      <a:pt x="178" y="474"/>
                    </a:lnTo>
                    <a:lnTo>
                      <a:pt x="187" y="474"/>
                    </a:lnTo>
                    <a:lnTo>
                      <a:pt x="187" y="474"/>
                    </a:lnTo>
                    <a:lnTo>
                      <a:pt x="187" y="474"/>
                    </a:lnTo>
                    <a:lnTo>
                      <a:pt x="196" y="474"/>
                    </a:lnTo>
                    <a:lnTo>
                      <a:pt x="196" y="483"/>
                    </a:lnTo>
                    <a:lnTo>
                      <a:pt x="196" y="483"/>
                    </a:lnTo>
                    <a:lnTo>
                      <a:pt x="196" y="483"/>
                    </a:lnTo>
                    <a:lnTo>
                      <a:pt x="196" y="492"/>
                    </a:lnTo>
                    <a:lnTo>
                      <a:pt x="196" y="492"/>
                    </a:lnTo>
                    <a:lnTo>
                      <a:pt x="196" y="492"/>
                    </a:lnTo>
                    <a:lnTo>
                      <a:pt x="196" y="500"/>
                    </a:lnTo>
                    <a:lnTo>
                      <a:pt x="187" y="500"/>
                    </a:lnTo>
                    <a:lnTo>
                      <a:pt x="187" y="500"/>
                    </a:lnTo>
                    <a:lnTo>
                      <a:pt x="187" y="509"/>
                    </a:lnTo>
                    <a:lnTo>
                      <a:pt x="187" y="509"/>
                    </a:lnTo>
                    <a:lnTo>
                      <a:pt x="187" y="518"/>
                    </a:lnTo>
                    <a:lnTo>
                      <a:pt x="187" y="518"/>
                    </a:lnTo>
                    <a:lnTo>
                      <a:pt x="187" y="527"/>
                    </a:lnTo>
                    <a:lnTo>
                      <a:pt x="187" y="527"/>
                    </a:lnTo>
                    <a:lnTo>
                      <a:pt x="187" y="536"/>
                    </a:lnTo>
                    <a:lnTo>
                      <a:pt x="187" y="536"/>
                    </a:lnTo>
                    <a:lnTo>
                      <a:pt x="187" y="545"/>
                    </a:lnTo>
                    <a:lnTo>
                      <a:pt x="187" y="545"/>
                    </a:lnTo>
                    <a:lnTo>
                      <a:pt x="187" y="545"/>
                    </a:lnTo>
                    <a:lnTo>
                      <a:pt x="187" y="554"/>
                    </a:lnTo>
                    <a:lnTo>
                      <a:pt x="196" y="554"/>
                    </a:lnTo>
                    <a:lnTo>
                      <a:pt x="196" y="563"/>
                    </a:lnTo>
                    <a:lnTo>
                      <a:pt x="196" y="563"/>
                    </a:lnTo>
                    <a:lnTo>
                      <a:pt x="196" y="563"/>
                    </a:lnTo>
                    <a:lnTo>
                      <a:pt x="196" y="572"/>
                    </a:lnTo>
                    <a:lnTo>
                      <a:pt x="196" y="572"/>
                    </a:lnTo>
                    <a:lnTo>
                      <a:pt x="196" y="572"/>
                    </a:lnTo>
                    <a:lnTo>
                      <a:pt x="205" y="572"/>
                    </a:lnTo>
                    <a:lnTo>
                      <a:pt x="205" y="581"/>
                    </a:lnTo>
                    <a:lnTo>
                      <a:pt x="205" y="581"/>
                    </a:lnTo>
                    <a:lnTo>
                      <a:pt x="205" y="581"/>
                    </a:lnTo>
                    <a:lnTo>
                      <a:pt x="205" y="581"/>
                    </a:lnTo>
                    <a:lnTo>
                      <a:pt x="205" y="581"/>
                    </a:lnTo>
                    <a:lnTo>
                      <a:pt x="205" y="581"/>
                    </a:lnTo>
                    <a:lnTo>
                      <a:pt x="205" y="590"/>
                    </a:lnTo>
                    <a:lnTo>
                      <a:pt x="205" y="590"/>
                    </a:lnTo>
                    <a:lnTo>
                      <a:pt x="205" y="590"/>
                    </a:lnTo>
                    <a:lnTo>
                      <a:pt x="205" y="590"/>
                    </a:lnTo>
                    <a:lnTo>
                      <a:pt x="205" y="590"/>
                    </a:lnTo>
                    <a:lnTo>
                      <a:pt x="205" y="590"/>
                    </a:lnTo>
                    <a:lnTo>
                      <a:pt x="205" y="590"/>
                    </a:lnTo>
                    <a:lnTo>
                      <a:pt x="205" y="590"/>
                    </a:lnTo>
                    <a:lnTo>
                      <a:pt x="205" y="590"/>
                    </a:lnTo>
                    <a:lnTo>
                      <a:pt x="196" y="599"/>
                    </a:lnTo>
                    <a:lnTo>
                      <a:pt x="196" y="599"/>
                    </a:lnTo>
                    <a:lnTo>
                      <a:pt x="196" y="599"/>
                    </a:lnTo>
                    <a:lnTo>
                      <a:pt x="196" y="599"/>
                    </a:lnTo>
                    <a:lnTo>
                      <a:pt x="196" y="599"/>
                    </a:lnTo>
                    <a:lnTo>
                      <a:pt x="187" y="599"/>
                    </a:lnTo>
                    <a:lnTo>
                      <a:pt x="187" y="599"/>
                    </a:lnTo>
                    <a:lnTo>
                      <a:pt x="187" y="599"/>
                    </a:lnTo>
                    <a:lnTo>
                      <a:pt x="178" y="599"/>
                    </a:lnTo>
                    <a:lnTo>
                      <a:pt x="178" y="599"/>
                    </a:lnTo>
                    <a:lnTo>
                      <a:pt x="178" y="599"/>
                    </a:lnTo>
                    <a:lnTo>
                      <a:pt x="169" y="599"/>
                    </a:lnTo>
                    <a:lnTo>
                      <a:pt x="169" y="599"/>
                    </a:lnTo>
                    <a:lnTo>
                      <a:pt x="169" y="599"/>
                    </a:lnTo>
                    <a:lnTo>
                      <a:pt x="169" y="608"/>
                    </a:lnTo>
                    <a:lnTo>
                      <a:pt x="169" y="608"/>
                    </a:lnTo>
                    <a:lnTo>
                      <a:pt x="169" y="608"/>
                    </a:lnTo>
                    <a:lnTo>
                      <a:pt x="178" y="617"/>
                    </a:lnTo>
                    <a:lnTo>
                      <a:pt x="178" y="617"/>
                    </a:lnTo>
                    <a:lnTo>
                      <a:pt x="178" y="617"/>
                    </a:lnTo>
                    <a:lnTo>
                      <a:pt x="178" y="626"/>
                    </a:lnTo>
                    <a:lnTo>
                      <a:pt x="178" y="626"/>
                    </a:lnTo>
                    <a:lnTo>
                      <a:pt x="169" y="626"/>
                    </a:lnTo>
                    <a:lnTo>
                      <a:pt x="169" y="626"/>
                    </a:lnTo>
                    <a:lnTo>
                      <a:pt x="169" y="626"/>
                    </a:lnTo>
                    <a:lnTo>
                      <a:pt x="169" y="626"/>
                    </a:lnTo>
                    <a:lnTo>
                      <a:pt x="160" y="626"/>
                    </a:lnTo>
                    <a:lnTo>
                      <a:pt x="160" y="626"/>
                    </a:lnTo>
                    <a:lnTo>
                      <a:pt x="160" y="626"/>
                    </a:lnTo>
                    <a:lnTo>
                      <a:pt x="152" y="634"/>
                    </a:lnTo>
                    <a:lnTo>
                      <a:pt x="152" y="634"/>
                    </a:lnTo>
                    <a:lnTo>
                      <a:pt x="152" y="634"/>
                    </a:lnTo>
                    <a:lnTo>
                      <a:pt x="143" y="634"/>
                    </a:lnTo>
                    <a:lnTo>
                      <a:pt x="143" y="634"/>
                    </a:lnTo>
                    <a:lnTo>
                      <a:pt x="134" y="634"/>
                    </a:lnTo>
                    <a:lnTo>
                      <a:pt x="134" y="634"/>
                    </a:lnTo>
                    <a:lnTo>
                      <a:pt x="134" y="634"/>
                    </a:lnTo>
                    <a:lnTo>
                      <a:pt x="125" y="634"/>
                    </a:lnTo>
                    <a:lnTo>
                      <a:pt x="125" y="634"/>
                    </a:lnTo>
                    <a:lnTo>
                      <a:pt x="116" y="634"/>
                    </a:lnTo>
                    <a:lnTo>
                      <a:pt x="116" y="634"/>
                    </a:lnTo>
                    <a:lnTo>
                      <a:pt x="107" y="634"/>
                    </a:lnTo>
                    <a:lnTo>
                      <a:pt x="107" y="643"/>
                    </a:lnTo>
                    <a:lnTo>
                      <a:pt x="107" y="643"/>
                    </a:lnTo>
                    <a:lnTo>
                      <a:pt x="98" y="643"/>
                    </a:lnTo>
                    <a:lnTo>
                      <a:pt x="98" y="643"/>
                    </a:lnTo>
                    <a:lnTo>
                      <a:pt x="98" y="643"/>
                    </a:lnTo>
                    <a:lnTo>
                      <a:pt x="89" y="643"/>
                    </a:lnTo>
                    <a:lnTo>
                      <a:pt x="89" y="643"/>
                    </a:lnTo>
                    <a:lnTo>
                      <a:pt x="89" y="643"/>
                    </a:lnTo>
                    <a:lnTo>
                      <a:pt x="89" y="643"/>
                    </a:lnTo>
                    <a:lnTo>
                      <a:pt x="80" y="643"/>
                    </a:lnTo>
                    <a:lnTo>
                      <a:pt x="80" y="643"/>
                    </a:lnTo>
                    <a:lnTo>
                      <a:pt x="80" y="643"/>
                    </a:lnTo>
                    <a:lnTo>
                      <a:pt x="80" y="652"/>
                    </a:lnTo>
                    <a:lnTo>
                      <a:pt x="80" y="652"/>
                    </a:lnTo>
                    <a:lnTo>
                      <a:pt x="80" y="652"/>
                    </a:lnTo>
                    <a:lnTo>
                      <a:pt x="80" y="652"/>
                    </a:lnTo>
                    <a:lnTo>
                      <a:pt x="71" y="661"/>
                    </a:lnTo>
                    <a:lnTo>
                      <a:pt x="71" y="661"/>
                    </a:lnTo>
                    <a:lnTo>
                      <a:pt x="71" y="661"/>
                    </a:lnTo>
                    <a:lnTo>
                      <a:pt x="71" y="670"/>
                    </a:lnTo>
                    <a:lnTo>
                      <a:pt x="71" y="670"/>
                    </a:lnTo>
                    <a:lnTo>
                      <a:pt x="62" y="670"/>
                    </a:lnTo>
                    <a:lnTo>
                      <a:pt x="62" y="670"/>
                    </a:lnTo>
                    <a:lnTo>
                      <a:pt x="62" y="679"/>
                    </a:lnTo>
                    <a:lnTo>
                      <a:pt x="53" y="679"/>
                    </a:lnTo>
                    <a:lnTo>
                      <a:pt x="53" y="679"/>
                    </a:lnTo>
                    <a:lnTo>
                      <a:pt x="53" y="679"/>
                    </a:lnTo>
                    <a:lnTo>
                      <a:pt x="53" y="679"/>
                    </a:lnTo>
                    <a:lnTo>
                      <a:pt x="44" y="679"/>
                    </a:lnTo>
                    <a:lnTo>
                      <a:pt x="44" y="679"/>
                    </a:lnTo>
                    <a:lnTo>
                      <a:pt x="44" y="679"/>
                    </a:lnTo>
                    <a:lnTo>
                      <a:pt x="44" y="679"/>
                    </a:lnTo>
                    <a:lnTo>
                      <a:pt x="35" y="679"/>
                    </a:lnTo>
                    <a:lnTo>
                      <a:pt x="35" y="679"/>
                    </a:lnTo>
                    <a:lnTo>
                      <a:pt x="35" y="688"/>
                    </a:lnTo>
                    <a:lnTo>
                      <a:pt x="35" y="688"/>
                    </a:lnTo>
                    <a:lnTo>
                      <a:pt x="35" y="688"/>
                    </a:lnTo>
                    <a:lnTo>
                      <a:pt x="26" y="697"/>
                    </a:lnTo>
                    <a:lnTo>
                      <a:pt x="26" y="697"/>
                    </a:lnTo>
                    <a:lnTo>
                      <a:pt x="26" y="706"/>
                    </a:lnTo>
                    <a:lnTo>
                      <a:pt x="26" y="706"/>
                    </a:lnTo>
                    <a:lnTo>
                      <a:pt x="26" y="715"/>
                    </a:lnTo>
                    <a:lnTo>
                      <a:pt x="26" y="724"/>
                    </a:lnTo>
                    <a:lnTo>
                      <a:pt x="26" y="724"/>
                    </a:lnTo>
                    <a:lnTo>
                      <a:pt x="26" y="733"/>
                    </a:lnTo>
                    <a:lnTo>
                      <a:pt x="26" y="742"/>
                    </a:lnTo>
                    <a:lnTo>
                      <a:pt x="26" y="751"/>
                    </a:lnTo>
                    <a:lnTo>
                      <a:pt x="35" y="759"/>
                    </a:lnTo>
                    <a:lnTo>
                      <a:pt x="35" y="759"/>
                    </a:lnTo>
                    <a:lnTo>
                      <a:pt x="35" y="768"/>
                    </a:lnTo>
                    <a:lnTo>
                      <a:pt x="35" y="777"/>
                    </a:lnTo>
                    <a:lnTo>
                      <a:pt x="35" y="777"/>
                    </a:lnTo>
                    <a:lnTo>
                      <a:pt x="35" y="786"/>
                    </a:lnTo>
                    <a:lnTo>
                      <a:pt x="35" y="786"/>
                    </a:lnTo>
                    <a:lnTo>
                      <a:pt x="35" y="786"/>
                    </a:lnTo>
                    <a:lnTo>
                      <a:pt x="35" y="795"/>
                    </a:lnTo>
                    <a:lnTo>
                      <a:pt x="35" y="795"/>
                    </a:lnTo>
                    <a:lnTo>
                      <a:pt x="35" y="795"/>
                    </a:lnTo>
                    <a:lnTo>
                      <a:pt x="35" y="804"/>
                    </a:lnTo>
                    <a:lnTo>
                      <a:pt x="35" y="804"/>
                    </a:lnTo>
                    <a:lnTo>
                      <a:pt x="35" y="804"/>
                    </a:lnTo>
                    <a:lnTo>
                      <a:pt x="44" y="804"/>
                    </a:lnTo>
                    <a:lnTo>
                      <a:pt x="44" y="813"/>
                    </a:lnTo>
                    <a:lnTo>
                      <a:pt x="44" y="813"/>
                    </a:lnTo>
                    <a:lnTo>
                      <a:pt x="53" y="813"/>
                    </a:lnTo>
                    <a:lnTo>
                      <a:pt x="53" y="813"/>
                    </a:lnTo>
                    <a:lnTo>
                      <a:pt x="62" y="813"/>
                    </a:lnTo>
                    <a:lnTo>
                      <a:pt x="62" y="813"/>
                    </a:lnTo>
                    <a:lnTo>
                      <a:pt x="62" y="813"/>
                    </a:lnTo>
                    <a:lnTo>
                      <a:pt x="62" y="813"/>
                    </a:lnTo>
                    <a:lnTo>
                      <a:pt x="71" y="813"/>
                    </a:lnTo>
                    <a:lnTo>
                      <a:pt x="71" y="813"/>
                    </a:lnTo>
                    <a:lnTo>
                      <a:pt x="71" y="813"/>
                    </a:lnTo>
                    <a:lnTo>
                      <a:pt x="80" y="813"/>
                    </a:lnTo>
                    <a:lnTo>
                      <a:pt x="80" y="813"/>
                    </a:lnTo>
                    <a:lnTo>
                      <a:pt x="80" y="813"/>
                    </a:lnTo>
                    <a:lnTo>
                      <a:pt x="80" y="804"/>
                    </a:lnTo>
                    <a:lnTo>
                      <a:pt x="80" y="804"/>
                    </a:lnTo>
                    <a:lnTo>
                      <a:pt x="80" y="804"/>
                    </a:lnTo>
                    <a:lnTo>
                      <a:pt x="80" y="804"/>
                    </a:lnTo>
                    <a:lnTo>
                      <a:pt x="80" y="804"/>
                    </a:lnTo>
                    <a:lnTo>
                      <a:pt x="80" y="804"/>
                    </a:lnTo>
                    <a:lnTo>
                      <a:pt x="89" y="804"/>
                    </a:lnTo>
                    <a:lnTo>
                      <a:pt x="89" y="804"/>
                    </a:lnTo>
                    <a:lnTo>
                      <a:pt x="89" y="804"/>
                    </a:lnTo>
                    <a:lnTo>
                      <a:pt x="89" y="804"/>
                    </a:lnTo>
                    <a:lnTo>
                      <a:pt x="89" y="804"/>
                    </a:lnTo>
                    <a:lnTo>
                      <a:pt x="98" y="813"/>
                    </a:lnTo>
                    <a:lnTo>
                      <a:pt x="98" y="813"/>
                    </a:lnTo>
                    <a:lnTo>
                      <a:pt x="98" y="813"/>
                    </a:lnTo>
                    <a:lnTo>
                      <a:pt x="98" y="813"/>
                    </a:lnTo>
                    <a:lnTo>
                      <a:pt x="107" y="813"/>
                    </a:lnTo>
                    <a:lnTo>
                      <a:pt x="107" y="813"/>
                    </a:lnTo>
                    <a:lnTo>
                      <a:pt x="107" y="813"/>
                    </a:lnTo>
                    <a:lnTo>
                      <a:pt x="116" y="822"/>
                    </a:lnTo>
                    <a:lnTo>
                      <a:pt x="116" y="822"/>
                    </a:lnTo>
                    <a:lnTo>
                      <a:pt x="116" y="822"/>
                    </a:lnTo>
                    <a:lnTo>
                      <a:pt x="125" y="822"/>
                    </a:lnTo>
                    <a:lnTo>
                      <a:pt x="125" y="822"/>
                    </a:lnTo>
                    <a:lnTo>
                      <a:pt x="125" y="822"/>
                    </a:lnTo>
                    <a:lnTo>
                      <a:pt x="125" y="822"/>
                    </a:lnTo>
                    <a:lnTo>
                      <a:pt x="134" y="822"/>
                    </a:lnTo>
                    <a:lnTo>
                      <a:pt x="134" y="822"/>
                    </a:lnTo>
                    <a:lnTo>
                      <a:pt x="134" y="813"/>
                    </a:lnTo>
                    <a:lnTo>
                      <a:pt x="134" y="813"/>
                    </a:lnTo>
                    <a:lnTo>
                      <a:pt x="134" y="813"/>
                    </a:lnTo>
                    <a:lnTo>
                      <a:pt x="143" y="822"/>
                    </a:lnTo>
                    <a:lnTo>
                      <a:pt x="143" y="822"/>
                    </a:lnTo>
                    <a:lnTo>
                      <a:pt x="143" y="822"/>
                    </a:lnTo>
                    <a:lnTo>
                      <a:pt x="143" y="822"/>
                    </a:lnTo>
                    <a:lnTo>
                      <a:pt x="143" y="822"/>
                    </a:lnTo>
                    <a:lnTo>
                      <a:pt x="143" y="822"/>
                    </a:lnTo>
                    <a:lnTo>
                      <a:pt x="143" y="822"/>
                    </a:lnTo>
                    <a:lnTo>
                      <a:pt x="134" y="831"/>
                    </a:lnTo>
                    <a:lnTo>
                      <a:pt x="134" y="831"/>
                    </a:lnTo>
                    <a:lnTo>
                      <a:pt x="134" y="831"/>
                    </a:lnTo>
                    <a:lnTo>
                      <a:pt x="134" y="831"/>
                    </a:lnTo>
                    <a:lnTo>
                      <a:pt x="134" y="840"/>
                    </a:lnTo>
                    <a:lnTo>
                      <a:pt x="134" y="840"/>
                    </a:lnTo>
                    <a:lnTo>
                      <a:pt x="134" y="840"/>
                    </a:lnTo>
                    <a:lnTo>
                      <a:pt x="134" y="849"/>
                    </a:lnTo>
                    <a:lnTo>
                      <a:pt x="134" y="849"/>
                    </a:lnTo>
                    <a:lnTo>
                      <a:pt x="134" y="849"/>
                    </a:lnTo>
                    <a:lnTo>
                      <a:pt x="134" y="849"/>
                    </a:lnTo>
                    <a:lnTo>
                      <a:pt x="143" y="849"/>
                    </a:lnTo>
                    <a:lnTo>
                      <a:pt x="143" y="849"/>
                    </a:lnTo>
                    <a:lnTo>
                      <a:pt x="143" y="849"/>
                    </a:lnTo>
                    <a:lnTo>
                      <a:pt x="143" y="849"/>
                    </a:lnTo>
                    <a:lnTo>
                      <a:pt x="143" y="849"/>
                    </a:lnTo>
                    <a:lnTo>
                      <a:pt x="152" y="849"/>
                    </a:lnTo>
                    <a:lnTo>
                      <a:pt x="152" y="849"/>
                    </a:lnTo>
                    <a:lnTo>
                      <a:pt x="152" y="858"/>
                    </a:lnTo>
                    <a:lnTo>
                      <a:pt x="152" y="858"/>
                    </a:lnTo>
                    <a:lnTo>
                      <a:pt x="160" y="858"/>
                    </a:lnTo>
                    <a:lnTo>
                      <a:pt x="160" y="858"/>
                    </a:lnTo>
                    <a:lnTo>
                      <a:pt x="160" y="858"/>
                    </a:lnTo>
                    <a:lnTo>
                      <a:pt x="160" y="858"/>
                    </a:lnTo>
                    <a:lnTo>
                      <a:pt x="160" y="858"/>
                    </a:lnTo>
                    <a:lnTo>
                      <a:pt x="169" y="858"/>
                    </a:lnTo>
                    <a:lnTo>
                      <a:pt x="169" y="858"/>
                    </a:lnTo>
                    <a:lnTo>
                      <a:pt x="169" y="858"/>
                    </a:lnTo>
                    <a:lnTo>
                      <a:pt x="178" y="858"/>
                    </a:lnTo>
                    <a:lnTo>
                      <a:pt x="178" y="858"/>
                    </a:lnTo>
                    <a:lnTo>
                      <a:pt x="178" y="858"/>
                    </a:lnTo>
                    <a:lnTo>
                      <a:pt x="187" y="858"/>
                    </a:lnTo>
                    <a:lnTo>
                      <a:pt x="187" y="858"/>
                    </a:lnTo>
                    <a:lnTo>
                      <a:pt x="187" y="858"/>
                    </a:lnTo>
                    <a:lnTo>
                      <a:pt x="196" y="858"/>
                    </a:lnTo>
                    <a:lnTo>
                      <a:pt x="196" y="867"/>
                    </a:lnTo>
                    <a:lnTo>
                      <a:pt x="196" y="867"/>
                    </a:lnTo>
                    <a:lnTo>
                      <a:pt x="196" y="867"/>
                    </a:lnTo>
                    <a:lnTo>
                      <a:pt x="196" y="867"/>
                    </a:lnTo>
                    <a:lnTo>
                      <a:pt x="205" y="867"/>
                    </a:lnTo>
                    <a:lnTo>
                      <a:pt x="205" y="867"/>
                    </a:lnTo>
                    <a:lnTo>
                      <a:pt x="205" y="867"/>
                    </a:lnTo>
                    <a:lnTo>
                      <a:pt x="205" y="867"/>
                    </a:lnTo>
                    <a:lnTo>
                      <a:pt x="214" y="867"/>
                    </a:lnTo>
                    <a:lnTo>
                      <a:pt x="214" y="867"/>
                    </a:lnTo>
                    <a:lnTo>
                      <a:pt x="223" y="867"/>
                    </a:lnTo>
                    <a:lnTo>
                      <a:pt x="223" y="867"/>
                    </a:lnTo>
                    <a:lnTo>
                      <a:pt x="223" y="867"/>
                    </a:lnTo>
                    <a:lnTo>
                      <a:pt x="232" y="867"/>
                    </a:lnTo>
                    <a:lnTo>
                      <a:pt x="232" y="867"/>
                    </a:lnTo>
                    <a:lnTo>
                      <a:pt x="232" y="867"/>
                    </a:lnTo>
                    <a:lnTo>
                      <a:pt x="232" y="867"/>
                    </a:lnTo>
                    <a:lnTo>
                      <a:pt x="232" y="867"/>
                    </a:lnTo>
                    <a:lnTo>
                      <a:pt x="241" y="867"/>
                    </a:lnTo>
                    <a:lnTo>
                      <a:pt x="241" y="858"/>
                    </a:lnTo>
                    <a:lnTo>
                      <a:pt x="241" y="858"/>
                    </a:lnTo>
                    <a:lnTo>
                      <a:pt x="241" y="858"/>
                    </a:lnTo>
                    <a:lnTo>
                      <a:pt x="241" y="858"/>
                    </a:lnTo>
                    <a:lnTo>
                      <a:pt x="241" y="849"/>
                    </a:lnTo>
                    <a:lnTo>
                      <a:pt x="241" y="849"/>
                    </a:lnTo>
                    <a:lnTo>
                      <a:pt x="241" y="849"/>
                    </a:lnTo>
                    <a:lnTo>
                      <a:pt x="241" y="840"/>
                    </a:lnTo>
                    <a:lnTo>
                      <a:pt x="241" y="840"/>
                    </a:lnTo>
                    <a:lnTo>
                      <a:pt x="241" y="840"/>
                    </a:lnTo>
                    <a:lnTo>
                      <a:pt x="241" y="831"/>
                    </a:lnTo>
                    <a:lnTo>
                      <a:pt x="241" y="831"/>
                    </a:lnTo>
                    <a:lnTo>
                      <a:pt x="241" y="831"/>
                    </a:lnTo>
                    <a:lnTo>
                      <a:pt x="241" y="822"/>
                    </a:lnTo>
                    <a:lnTo>
                      <a:pt x="241" y="822"/>
                    </a:lnTo>
                    <a:lnTo>
                      <a:pt x="241" y="822"/>
                    </a:lnTo>
                    <a:lnTo>
                      <a:pt x="250" y="813"/>
                    </a:lnTo>
                    <a:lnTo>
                      <a:pt x="250" y="813"/>
                    </a:lnTo>
                    <a:lnTo>
                      <a:pt x="250" y="804"/>
                    </a:lnTo>
                    <a:lnTo>
                      <a:pt x="250" y="804"/>
                    </a:lnTo>
                    <a:lnTo>
                      <a:pt x="250" y="804"/>
                    </a:lnTo>
                    <a:lnTo>
                      <a:pt x="250" y="804"/>
                    </a:lnTo>
                    <a:lnTo>
                      <a:pt x="250" y="804"/>
                    </a:lnTo>
                    <a:lnTo>
                      <a:pt x="259" y="804"/>
                    </a:lnTo>
                    <a:lnTo>
                      <a:pt x="259" y="804"/>
                    </a:lnTo>
                    <a:lnTo>
                      <a:pt x="259" y="804"/>
                    </a:lnTo>
                    <a:lnTo>
                      <a:pt x="259" y="804"/>
                    </a:lnTo>
                    <a:lnTo>
                      <a:pt x="259" y="804"/>
                    </a:lnTo>
                    <a:lnTo>
                      <a:pt x="259" y="804"/>
                    </a:lnTo>
                    <a:lnTo>
                      <a:pt x="259" y="795"/>
                    </a:lnTo>
                    <a:lnTo>
                      <a:pt x="259" y="795"/>
                    </a:lnTo>
                    <a:lnTo>
                      <a:pt x="268" y="795"/>
                    </a:lnTo>
                    <a:lnTo>
                      <a:pt x="268" y="795"/>
                    </a:lnTo>
                    <a:lnTo>
                      <a:pt x="268" y="795"/>
                    </a:lnTo>
                    <a:lnTo>
                      <a:pt x="268" y="795"/>
                    </a:lnTo>
                    <a:lnTo>
                      <a:pt x="268" y="795"/>
                    </a:lnTo>
                    <a:lnTo>
                      <a:pt x="268" y="786"/>
                    </a:lnTo>
                    <a:lnTo>
                      <a:pt x="268" y="786"/>
                    </a:lnTo>
                    <a:lnTo>
                      <a:pt x="268" y="786"/>
                    </a:lnTo>
                    <a:lnTo>
                      <a:pt x="277" y="786"/>
                    </a:lnTo>
                    <a:lnTo>
                      <a:pt x="277" y="786"/>
                    </a:lnTo>
                    <a:lnTo>
                      <a:pt x="277" y="786"/>
                    </a:lnTo>
                    <a:lnTo>
                      <a:pt x="277" y="786"/>
                    </a:lnTo>
                    <a:lnTo>
                      <a:pt x="286" y="786"/>
                    </a:lnTo>
                    <a:lnTo>
                      <a:pt x="286" y="786"/>
                    </a:lnTo>
                    <a:lnTo>
                      <a:pt x="286" y="786"/>
                    </a:lnTo>
                    <a:lnTo>
                      <a:pt x="286" y="786"/>
                    </a:lnTo>
                    <a:lnTo>
                      <a:pt x="286" y="786"/>
                    </a:lnTo>
                    <a:lnTo>
                      <a:pt x="286" y="786"/>
                    </a:lnTo>
                    <a:lnTo>
                      <a:pt x="286" y="777"/>
                    </a:lnTo>
                    <a:lnTo>
                      <a:pt x="286" y="777"/>
                    </a:lnTo>
                    <a:lnTo>
                      <a:pt x="294" y="777"/>
                    </a:lnTo>
                    <a:lnTo>
                      <a:pt x="294" y="777"/>
                    </a:lnTo>
                    <a:lnTo>
                      <a:pt x="294" y="768"/>
                    </a:lnTo>
                    <a:lnTo>
                      <a:pt x="294" y="768"/>
                    </a:lnTo>
                    <a:lnTo>
                      <a:pt x="294" y="768"/>
                    </a:lnTo>
                    <a:lnTo>
                      <a:pt x="286" y="759"/>
                    </a:lnTo>
                    <a:lnTo>
                      <a:pt x="286" y="759"/>
                    </a:lnTo>
                    <a:lnTo>
                      <a:pt x="286" y="751"/>
                    </a:lnTo>
                    <a:lnTo>
                      <a:pt x="286" y="751"/>
                    </a:lnTo>
                    <a:lnTo>
                      <a:pt x="286" y="742"/>
                    </a:lnTo>
                    <a:lnTo>
                      <a:pt x="286" y="742"/>
                    </a:lnTo>
                    <a:lnTo>
                      <a:pt x="286" y="742"/>
                    </a:lnTo>
                    <a:lnTo>
                      <a:pt x="286" y="733"/>
                    </a:lnTo>
                    <a:lnTo>
                      <a:pt x="286" y="733"/>
                    </a:lnTo>
                    <a:lnTo>
                      <a:pt x="286" y="724"/>
                    </a:lnTo>
                    <a:lnTo>
                      <a:pt x="286" y="724"/>
                    </a:lnTo>
                    <a:lnTo>
                      <a:pt x="286" y="724"/>
                    </a:lnTo>
                    <a:lnTo>
                      <a:pt x="286" y="715"/>
                    </a:lnTo>
                    <a:lnTo>
                      <a:pt x="286" y="715"/>
                    </a:lnTo>
                    <a:lnTo>
                      <a:pt x="286" y="715"/>
                    </a:lnTo>
                    <a:lnTo>
                      <a:pt x="286" y="715"/>
                    </a:lnTo>
                    <a:lnTo>
                      <a:pt x="286" y="706"/>
                    </a:lnTo>
                    <a:lnTo>
                      <a:pt x="286" y="706"/>
                    </a:lnTo>
                    <a:lnTo>
                      <a:pt x="286" y="706"/>
                    </a:lnTo>
                    <a:lnTo>
                      <a:pt x="286" y="706"/>
                    </a:lnTo>
                    <a:lnTo>
                      <a:pt x="294" y="697"/>
                    </a:lnTo>
                    <a:lnTo>
                      <a:pt x="294" y="697"/>
                    </a:lnTo>
                    <a:lnTo>
                      <a:pt x="294" y="697"/>
                    </a:lnTo>
                    <a:lnTo>
                      <a:pt x="294" y="697"/>
                    </a:lnTo>
                    <a:lnTo>
                      <a:pt x="303" y="697"/>
                    </a:lnTo>
                    <a:lnTo>
                      <a:pt x="303" y="697"/>
                    </a:lnTo>
                    <a:lnTo>
                      <a:pt x="303" y="697"/>
                    </a:lnTo>
                    <a:lnTo>
                      <a:pt x="312" y="697"/>
                    </a:lnTo>
                    <a:lnTo>
                      <a:pt x="312" y="697"/>
                    </a:lnTo>
                    <a:lnTo>
                      <a:pt x="312" y="706"/>
                    </a:lnTo>
                    <a:lnTo>
                      <a:pt x="312" y="706"/>
                    </a:lnTo>
                    <a:lnTo>
                      <a:pt x="321" y="706"/>
                    </a:lnTo>
                    <a:lnTo>
                      <a:pt x="321" y="706"/>
                    </a:lnTo>
                    <a:lnTo>
                      <a:pt x="321" y="706"/>
                    </a:lnTo>
                    <a:lnTo>
                      <a:pt x="321" y="706"/>
                    </a:lnTo>
                    <a:lnTo>
                      <a:pt x="330" y="697"/>
                    </a:lnTo>
                    <a:lnTo>
                      <a:pt x="330" y="697"/>
                    </a:lnTo>
                    <a:lnTo>
                      <a:pt x="330" y="697"/>
                    </a:lnTo>
                    <a:lnTo>
                      <a:pt x="330" y="688"/>
                    </a:lnTo>
                    <a:lnTo>
                      <a:pt x="330" y="688"/>
                    </a:lnTo>
                    <a:lnTo>
                      <a:pt x="330" y="679"/>
                    </a:lnTo>
                    <a:lnTo>
                      <a:pt x="330" y="679"/>
                    </a:lnTo>
                    <a:lnTo>
                      <a:pt x="330" y="670"/>
                    </a:lnTo>
                    <a:lnTo>
                      <a:pt x="330" y="670"/>
                    </a:lnTo>
                    <a:lnTo>
                      <a:pt x="330" y="670"/>
                    </a:lnTo>
                    <a:lnTo>
                      <a:pt x="330" y="661"/>
                    </a:lnTo>
                    <a:lnTo>
                      <a:pt x="330" y="661"/>
                    </a:lnTo>
                    <a:lnTo>
                      <a:pt x="330" y="652"/>
                    </a:lnTo>
                    <a:lnTo>
                      <a:pt x="330" y="652"/>
                    </a:lnTo>
                    <a:lnTo>
                      <a:pt x="330" y="652"/>
                    </a:lnTo>
                    <a:lnTo>
                      <a:pt x="330" y="643"/>
                    </a:lnTo>
                    <a:lnTo>
                      <a:pt x="330" y="643"/>
                    </a:lnTo>
                    <a:lnTo>
                      <a:pt x="330" y="634"/>
                    </a:lnTo>
                    <a:lnTo>
                      <a:pt x="330" y="634"/>
                    </a:lnTo>
                    <a:lnTo>
                      <a:pt x="330" y="634"/>
                    </a:lnTo>
                    <a:lnTo>
                      <a:pt x="330" y="634"/>
                    </a:lnTo>
                    <a:lnTo>
                      <a:pt x="321" y="634"/>
                    </a:lnTo>
                    <a:lnTo>
                      <a:pt x="321" y="626"/>
                    </a:lnTo>
                    <a:lnTo>
                      <a:pt x="321" y="626"/>
                    </a:lnTo>
                    <a:lnTo>
                      <a:pt x="321" y="626"/>
                    </a:lnTo>
                    <a:lnTo>
                      <a:pt x="321" y="617"/>
                    </a:lnTo>
                    <a:lnTo>
                      <a:pt x="321" y="617"/>
                    </a:lnTo>
                    <a:lnTo>
                      <a:pt x="321" y="608"/>
                    </a:lnTo>
                    <a:lnTo>
                      <a:pt x="321" y="608"/>
                    </a:lnTo>
                    <a:lnTo>
                      <a:pt x="321" y="599"/>
                    </a:lnTo>
                    <a:lnTo>
                      <a:pt x="321" y="599"/>
                    </a:lnTo>
                    <a:lnTo>
                      <a:pt x="321" y="590"/>
                    </a:lnTo>
                    <a:lnTo>
                      <a:pt x="321" y="590"/>
                    </a:lnTo>
                    <a:lnTo>
                      <a:pt x="321" y="590"/>
                    </a:lnTo>
                    <a:lnTo>
                      <a:pt x="321" y="581"/>
                    </a:lnTo>
                    <a:lnTo>
                      <a:pt x="321" y="581"/>
                    </a:lnTo>
                    <a:lnTo>
                      <a:pt x="321" y="581"/>
                    </a:lnTo>
                    <a:lnTo>
                      <a:pt x="321" y="581"/>
                    </a:lnTo>
                    <a:lnTo>
                      <a:pt x="321" y="572"/>
                    </a:lnTo>
                    <a:lnTo>
                      <a:pt x="321" y="572"/>
                    </a:lnTo>
                    <a:lnTo>
                      <a:pt x="321" y="572"/>
                    </a:lnTo>
                    <a:lnTo>
                      <a:pt x="330" y="572"/>
                    </a:lnTo>
                    <a:lnTo>
                      <a:pt x="330" y="572"/>
                    </a:lnTo>
                    <a:lnTo>
                      <a:pt x="330" y="572"/>
                    </a:lnTo>
                    <a:lnTo>
                      <a:pt x="330" y="563"/>
                    </a:lnTo>
                    <a:lnTo>
                      <a:pt x="330" y="563"/>
                    </a:lnTo>
                    <a:lnTo>
                      <a:pt x="330" y="563"/>
                    </a:lnTo>
                    <a:lnTo>
                      <a:pt x="330" y="563"/>
                    </a:lnTo>
                    <a:lnTo>
                      <a:pt x="330" y="563"/>
                    </a:lnTo>
                    <a:lnTo>
                      <a:pt x="330" y="563"/>
                    </a:lnTo>
                    <a:lnTo>
                      <a:pt x="339" y="554"/>
                    </a:lnTo>
                    <a:lnTo>
                      <a:pt x="339" y="554"/>
                    </a:lnTo>
                    <a:lnTo>
                      <a:pt x="339" y="554"/>
                    </a:lnTo>
                    <a:lnTo>
                      <a:pt x="339" y="545"/>
                    </a:lnTo>
                    <a:lnTo>
                      <a:pt x="339" y="545"/>
                    </a:lnTo>
                    <a:lnTo>
                      <a:pt x="339" y="545"/>
                    </a:lnTo>
                    <a:lnTo>
                      <a:pt x="339" y="545"/>
                    </a:lnTo>
                    <a:lnTo>
                      <a:pt x="339" y="536"/>
                    </a:lnTo>
                    <a:lnTo>
                      <a:pt x="339" y="536"/>
                    </a:lnTo>
                    <a:lnTo>
                      <a:pt x="339" y="536"/>
                    </a:lnTo>
                    <a:lnTo>
                      <a:pt x="339" y="536"/>
                    </a:lnTo>
                    <a:lnTo>
                      <a:pt x="348" y="536"/>
                    </a:lnTo>
                    <a:lnTo>
                      <a:pt x="348" y="536"/>
                    </a:lnTo>
                    <a:lnTo>
                      <a:pt x="348" y="536"/>
                    </a:lnTo>
                    <a:lnTo>
                      <a:pt x="348" y="536"/>
                    </a:lnTo>
                    <a:lnTo>
                      <a:pt x="357" y="536"/>
                    </a:lnTo>
                    <a:lnTo>
                      <a:pt x="357" y="536"/>
                    </a:lnTo>
                    <a:lnTo>
                      <a:pt x="357" y="536"/>
                    </a:lnTo>
                    <a:lnTo>
                      <a:pt x="366" y="536"/>
                    </a:lnTo>
                    <a:lnTo>
                      <a:pt x="366" y="536"/>
                    </a:lnTo>
                    <a:lnTo>
                      <a:pt x="366" y="536"/>
                    </a:lnTo>
                    <a:lnTo>
                      <a:pt x="366" y="536"/>
                    </a:lnTo>
                    <a:lnTo>
                      <a:pt x="375" y="536"/>
                    </a:lnTo>
                    <a:lnTo>
                      <a:pt x="375" y="536"/>
                    </a:lnTo>
                    <a:lnTo>
                      <a:pt x="375" y="536"/>
                    </a:lnTo>
                    <a:lnTo>
                      <a:pt x="375" y="536"/>
                    </a:lnTo>
                    <a:lnTo>
                      <a:pt x="375" y="527"/>
                    </a:lnTo>
                    <a:lnTo>
                      <a:pt x="375" y="527"/>
                    </a:lnTo>
                    <a:lnTo>
                      <a:pt x="375" y="527"/>
                    </a:lnTo>
                    <a:lnTo>
                      <a:pt x="384" y="527"/>
                    </a:lnTo>
                    <a:lnTo>
                      <a:pt x="384" y="527"/>
                    </a:lnTo>
                    <a:lnTo>
                      <a:pt x="384" y="527"/>
                    </a:lnTo>
                    <a:lnTo>
                      <a:pt x="384" y="527"/>
                    </a:lnTo>
                    <a:lnTo>
                      <a:pt x="393" y="527"/>
                    </a:lnTo>
                    <a:lnTo>
                      <a:pt x="393" y="527"/>
                    </a:lnTo>
                    <a:lnTo>
                      <a:pt x="393" y="527"/>
                    </a:lnTo>
                    <a:lnTo>
                      <a:pt x="402" y="527"/>
                    </a:lnTo>
                    <a:lnTo>
                      <a:pt x="402" y="527"/>
                    </a:lnTo>
                    <a:lnTo>
                      <a:pt x="402" y="527"/>
                    </a:lnTo>
                    <a:lnTo>
                      <a:pt x="402" y="527"/>
                    </a:lnTo>
                    <a:lnTo>
                      <a:pt x="411" y="527"/>
                    </a:lnTo>
                    <a:lnTo>
                      <a:pt x="411" y="527"/>
                    </a:lnTo>
                    <a:lnTo>
                      <a:pt x="411" y="527"/>
                    </a:lnTo>
                    <a:lnTo>
                      <a:pt x="411" y="527"/>
                    </a:lnTo>
                    <a:lnTo>
                      <a:pt x="411" y="527"/>
                    </a:lnTo>
                    <a:lnTo>
                      <a:pt x="411" y="527"/>
                    </a:lnTo>
                    <a:lnTo>
                      <a:pt x="411" y="536"/>
                    </a:lnTo>
                    <a:lnTo>
                      <a:pt x="419" y="536"/>
                    </a:lnTo>
                    <a:lnTo>
                      <a:pt x="419" y="536"/>
                    </a:lnTo>
                    <a:lnTo>
                      <a:pt x="419" y="536"/>
                    </a:lnTo>
                    <a:lnTo>
                      <a:pt x="419" y="536"/>
                    </a:lnTo>
                    <a:lnTo>
                      <a:pt x="419" y="545"/>
                    </a:lnTo>
                    <a:lnTo>
                      <a:pt x="419" y="545"/>
                    </a:lnTo>
                    <a:lnTo>
                      <a:pt x="419" y="545"/>
                    </a:lnTo>
                    <a:lnTo>
                      <a:pt x="419" y="545"/>
                    </a:lnTo>
                    <a:lnTo>
                      <a:pt x="419" y="545"/>
                    </a:lnTo>
                    <a:lnTo>
                      <a:pt x="428" y="554"/>
                    </a:lnTo>
                    <a:lnTo>
                      <a:pt x="428" y="554"/>
                    </a:lnTo>
                    <a:lnTo>
                      <a:pt x="428" y="554"/>
                    </a:lnTo>
                    <a:lnTo>
                      <a:pt x="428" y="554"/>
                    </a:lnTo>
                    <a:lnTo>
                      <a:pt x="428" y="554"/>
                    </a:lnTo>
                    <a:lnTo>
                      <a:pt x="428" y="554"/>
                    </a:lnTo>
                    <a:lnTo>
                      <a:pt x="428" y="554"/>
                    </a:lnTo>
                    <a:lnTo>
                      <a:pt x="428" y="554"/>
                    </a:lnTo>
                    <a:lnTo>
                      <a:pt x="437" y="554"/>
                    </a:lnTo>
                    <a:lnTo>
                      <a:pt x="437" y="554"/>
                    </a:lnTo>
                    <a:lnTo>
                      <a:pt x="437" y="554"/>
                    </a:lnTo>
                    <a:lnTo>
                      <a:pt x="437" y="554"/>
                    </a:lnTo>
                    <a:lnTo>
                      <a:pt x="437" y="554"/>
                    </a:lnTo>
                    <a:lnTo>
                      <a:pt x="446" y="554"/>
                    </a:lnTo>
                    <a:lnTo>
                      <a:pt x="446" y="554"/>
                    </a:lnTo>
                    <a:lnTo>
                      <a:pt x="446" y="554"/>
                    </a:lnTo>
                    <a:lnTo>
                      <a:pt x="446" y="554"/>
                    </a:lnTo>
                    <a:lnTo>
                      <a:pt x="446" y="554"/>
                    </a:lnTo>
                    <a:lnTo>
                      <a:pt x="455" y="554"/>
                    </a:lnTo>
                    <a:lnTo>
                      <a:pt x="455" y="545"/>
                    </a:lnTo>
                    <a:lnTo>
                      <a:pt x="455" y="545"/>
                    </a:lnTo>
                    <a:lnTo>
                      <a:pt x="455" y="545"/>
                    </a:lnTo>
                    <a:lnTo>
                      <a:pt x="464" y="545"/>
                    </a:lnTo>
                    <a:lnTo>
                      <a:pt x="464" y="545"/>
                    </a:lnTo>
                    <a:lnTo>
                      <a:pt x="464" y="545"/>
                    </a:lnTo>
                    <a:lnTo>
                      <a:pt x="464" y="545"/>
                    </a:lnTo>
                    <a:lnTo>
                      <a:pt x="473" y="545"/>
                    </a:lnTo>
                    <a:lnTo>
                      <a:pt x="473" y="536"/>
                    </a:lnTo>
                    <a:lnTo>
                      <a:pt x="473" y="536"/>
                    </a:lnTo>
                    <a:lnTo>
                      <a:pt x="473" y="536"/>
                    </a:lnTo>
                    <a:lnTo>
                      <a:pt x="482" y="536"/>
                    </a:lnTo>
                    <a:lnTo>
                      <a:pt x="482" y="536"/>
                    </a:lnTo>
                    <a:lnTo>
                      <a:pt x="482" y="536"/>
                    </a:lnTo>
                    <a:lnTo>
                      <a:pt x="482" y="536"/>
                    </a:lnTo>
                    <a:lnTo>
                      <a:pt x="491" y="536"/>
                    </a:lnTo>
                    <a:lnTo>
                      <a:pt x="491" y="536"/>
                    </a:lnTo>
                    <a:lnTo>
                      <a:pt x="491" y="536"/>
                    </a:lnTo>
                    <a:lnTo>
                      <a:pt x="500" y="536"/>
                    </a:lnTo>
                    <a:lnTo>
                      <a:pt x="500" y="536"/>
                    </a:lnTo>
                    <a:lnTo>
                      <a:pt x="500" y="536"/>
                    </a:lnTo>
                    <a:lnTo>
                      <a:pt x="500" y="536"/>
                    </a:lnTo>
                    <a:lnTo>
                      <a:pt x="509" y="536"/>
                    </a:lnTo>
                    <a:lnTo>
                      <a:pt x="509" y="536"/>
                    </a:lnTo>
                    <a:lnTo>
                      <a:pt x="509" y="536"/>
                    </a:lnTo>
                    <a:lnTo>
                      <a:pt x="509" y="536"/>
                    </a:lnTo>
                    <a:lnTo>
                      <a:pt x="509" y="536"/>
                    </a:lnTo>
                    <a:lnTo>
                      <a:pt x="518" y="536"/>
                    </a:lnTo>
                    <a:lnTo>
                      <a:pt x="518" y="527"/>
                    </a:lnTo>
                    <a:lnTo>
                      <a:pt x="518" y="527"/>
                    </a:lnTo>
                    <a:lnTo>
                      <a:pt x="518" y="527"/>
                    </a:lnTo>
                    <a:lnTo>
                      <a:pt x="527" y="527"/>
                    </a:lnTo>
                    <a:lnTo>
                      <a:pt x="527" y="527"/>
                    </a:lnTo>
                    <a:lnTo>
                      <a:pt x="527" y="518"/>
                    </a:lnTo>
                    <a:lnTo>
                      <a:pt x="527" y="518"/>
                    </a:lnTo>
                    <a:lnTo>
                      <a:pt x="536" y="518"/>
                    </a:lnTo>
                    <a:lnTo>
                      <a:pt x="536" y="518"/>
                    </a:lnTo>
                    <a:lnTo>
                      <a:pt x="536" y="518"/>
                    </a:lnTo>
                    <a:lnTo>
                      <a:pt x="536" y="518"/>
                    </a:lnTo>
                    <a:lnTo>
                      <a:pt x="536" y="509"/>
                    </a:lnTo>
                    <a:lnTo>
                      <a:pt x="536" y="509"/>
                    </a:lnTo>
                    <a:lnTo>
                      <a:pt x="536" y="509"/>
                    </a:lnTo>
                    <a:lnTo>
                      <a:pt x="536" y="509"/>
                    </a:lnTo>
                    <a:lnTo>
                      <a:pt x="536" y="509"/>
                    </a:lnTo>
                    <a:lnTo>
                      <a:pt x="536" y="509"/>
                    </a:lnTo>
                    <a:lnTo>
                      <a:pt x="536" y="509"/>
                    </a:lnTo>
                    <a:lnTo>
                      <a:pt x="545" y="509"/>
                    </a:lnTo>
                    <a:lnTo>
                      <a:pt x="545" y="509"/>
                    </a:lnTo>
                    <a:lnTo>
                      <a:pt x="545" y="509"/>
                    </a:lnTo>
                    <a:lnTo>
                      <a:pt x="545" y="500"/>
                    </a:lnTo>
                    <a:lnTo>
                      <a:pt x="545" y="500"/>
                    </a:lnTo>
                    <a:lnTo>
                      <a:pt x="545" y="500"/>
                    </a:lnTo>
                    <a:lnTo>
                      <a:pt x="545" y="500"/>
                    </a:lnTo>
                    <a:lnTo>
                      <a:pt x="545" y="500"/>
                    </a:lnTo>
                    <a:lnTo>
                      <a:pt x="545" y="500"/>
                    </a:lnTo>
                    <a:lnTo>
                      <a:pt x="545" y="500"/>
                    </a:lnTo>
                    <a:lnTo>
                      <a:pt x="536" y="500"/>
                    </a:lnTo>
                    <a:lnTo>
                      <a:pt x="536" y="500"/>
                    </a:lnTo>
                    <a:lnTo>
                      <a:pt x="536" y="500"/>
                    </a:lnTo>
                    <a:lnTo>
                      <a:pt x="536" y="500"/>
                    </a:lnTo>
                    <a:lnTo>
                      <a:pt x="536" y="500"/>
                    </a:lnTo>
                    <a:lnTo>
                      <a:pt x="527" y="500"/>
                    </a:lnTo>
                    <a:lnTo>
                      <a:pt x="527" y="500"/>
                    </a:lnTo>
                    <a:lnTo>
                      <a:pt x="527" y="500"/>
                    </a:lnTo>
                    <a:lnTo>
                      <a:pt x="518" y="500"/>
                    </a:lnTo>
                    <a:lnTo>
                      <a:pt x="518" y="500"/>
                    </a:lnTo>
                    <a:lnTo>
                      <a:pt x="518" y="500"/>
                    </a:lnTo>
                    <a:lnTo>
                      <a:pt x="518" y="500"/>
                    </a:lnTo>
                    <a:lnTo>
                      <a:pt x="509" y="500"/>
                    </a:lnTo>
                    <a:lnTo>
                      <a:pt x="509" y="492"/>
                    </a:lnTo>
                    <a:lnTo>
                      <a:pt x="509" y="492"/>
                    </a:lnTo>
                    <a:lnTo>
                      <a:pt x="509" y="492"/>
                    </a:lnTo>
                    <a:lnTo>
                      <a:pt x="509" y="492"/>
                    </a:lnTo>
                    <a:lnTo>
                      <a:pt x="509" y="492"/>
                    </a:lnTo>
                    <a:lnTo>
                      <a:pt x="509" y="483"/>
                    </a:lnTo>
                    <a:lnTo>
                      <a:pt x="509" y="483"/>
                    </a:lnTo>
                    <a:lnTo>
                      <a:pt x="509" y="483"/>
                    </a:lnTo>
                    <a:lnTo>
                      <a:pt x="509" y="483"/>
                    </a:lnTo>
                    <a:lnTo>
                      <a:pt x="509" y="483"/>
                    </a:lnTo>
                    <a:lnTo>
                      <a:pt x="509" y="474"/>
                    </a:lnTo>
                    <a:lnTo>
                      <a:pt x="509" y="474"/>
                    </a:lnTo>
                    <a:lnTo>
                      <a:pt x="509" y="474"/>
                    </a:lnTo>
                    <a:lnTo>
                      <a:pt x="509" y="474"/>
                    </a:lnTo>
                    <a:lnTo>
                      <a:pt x="509" y="474"/>
                    </a:lnTo>
                    <a:lnTo>
                      <a:pt x="509" y="474"/>
                    </a:lnTo>
                    <a:lnTo>
                      <a:pt x="518" y="474"/>
                    </a:lnTo>
                    <a:lnTo>
                      <a:pt x="518" y="474"/>
                    </a:lnTo>
                    <a:lnTo>
                      <a:pt x="518" y="474"/>
                    </a:lnTo>
                    <a:lnTo>
                      <a:pt x="518" y="474"/>
                    </a:lnTo>
                    <a:lnTo>
                      <a:pt x="527" y="474"/>
                    </a:lnTo>
                    <a:lnTo>
                      <a:pt x="527" y="474"/>
                    </a:lnTo>
                    <a:lnTo>
                      <a:pt x="527" y="474"/>
                    </a:lnTo>
                    <a:lnTo>
                      <a:pt x="527" y="474"/>
                    </a:lnTo>
                    <a:lnTo>
                      <a:pt x="536" y="474"/>
                    </a:lnTo>
                    <a:lnTo>
                      <a:pt x="536" y="474"/>
                    </a:lnTo>
                    <a:lnTo>
                      <a:pt x="536" y="474"/>
                    </a:lnTo>
                    <a:lnTo>
                      <a:pt x="536" y="474"/>
                    </a:lnTo>
                    <a:lnTo>
                      <a:pt x="545" y="474"/>
                    </a:lnTo>
                    <a:lnTo>
                      <a:pt x="545" y="474"/>
                    </a:lnTo>
                    <a:lnTo>
                      <a:pt x="545" y="474"/>
                    </a:lnTo>
                    <a:lnTo>
                      <a:pt x="545" y="474"/>
                    </a:lnTo>
                    <a:lnTo>
                      <a:pt x="553" y="474"/>
                    </a:lnTo>
                    <a:lnTo>
                      <a:pt x="553" y="474"/>
                    </a:lnTo>
                    <a:lnTo>
                      <a:pt x="553" y="474"/>
                    </a:lnTo>
                    <a:lnTo>
                      <a:pt x="553" y="465"/>
                    </a:lnTo>
                    <a:lnTo>
                      <a:pt x="553" y="465"/>
                    </a:lnTo>
                    <a:lnTo>
                      <a:pt x="553" y="465"/>
                    </a:lnTo>
                    <a:lnTo>
                      <a:pt x="553" y="465"/>
                    </a:lnTo>
                    <a:lnTo>
                      <a:pt x="553" y="465"/>
                    </a:lnTo>
                    <a:lnTo>
                      <a:pt x="553" y="456"/>
                    </a:lnTo>
                    <a:lnTo>
                      <a:pt x="553" y="456"/>
                    </a:lnTo>
                    <a:lnTo>
                      <a:pt x="553" y="456"/>
                    </a:lnTo>
                    <a:lnTo>
                      <a:pt x="553" y="456"/>
                    </a:lnTo>
                    <a:lnTo>
                      <a:pt x="553" y="447"/>
                    </a:lnTo>
                    <a:lnTo>
                      <a:pt x="553" y="447"/>
                    </a:lnTo>
                    <a:lnTo>
                      <a:pt x="553" y="447"/>
                    </a:lnTo>
                    <a:lnTo>
                      <a:pt x="553" y="447"/>
                    </a:lnTo>
                    <a:lnTo>
                      <a:pt x="553" y="438"/>
                    </a:lnTo>
                    <a:lnTo>
                      <a:pt x="553" y="438"/>
                    </a:lnTo>
                    <a:lnTo>
                      <a:pt x="553" y="438"/>
                    </a:lnTo>
                    <a:lnTo>
                      <a:pt x="553" y="429"/>
                    </a:lnTo>
                    <a:lnTo>
                      <a:pt x="553" y="429"/>
                    </a:lnTo>
                    <a:lnTo>
                      <a:pt x="553" y="429"/>
                    </a:lnTo>
                    <a:lnTo>
                      <a:pt x="553" y="429"/>
                    </a:lnTo>
                    <a:lnTo>
                      <a:pt x="553" y="429"/>
                    </a:lnTo>
                    <a:lnTo>
                      <a:pt x="553" y="429"/>
                    </a:lnTo>
                    <a:lnTo>
                      <a:pt x="562" y="429"/>
                    </a:lnTo>
                    <a:lnTo>
                      <a:pt x="562" y="429"/>
                    </a:lnTo>
                    <a:lnTo>
                      <a:pt x="562" y="429"/>
                    </a:lnTo>
                    <a:lnTo>
                      <a:pt x="562" y="429"/>
                    </a:lnTo>
                    <a:lnTo>
                      <a:pt x="562" y="429"/>
                    </a:lnTo>
                    <a:lnTo>
                      <a:pt x="571" y="429"/>
                    </a:lnTo>
                    <a:lnTo>
                      <a:pt x="571" y="429"/>
                    </a:lnTo>
                    <a:lnTo>
                      <a:pt x="571" y="429"/>
                    </a:lnTo>
                    <a:lnTo>
                      <a:pt x="571" y="429"/>
                    </a:lnTo>
                    <a:lnTo>
                      <a:pt x="571" y="429"/>
                    </a:lnTo>
                    <a:lnTo>
                      <a:pt x="580" y="429"/>
                    </a:lnTo>
                    <a:lnTo>
                      <a:pt x="580" y="429"/>
                    </a:lnTo>
                    <a:lnTo>
                      <a:pt x="580" y="429"/>
                    </a:lnTo>
                    <a:lnTo>
                      <a:pt x="580" y="429"/>
                    </a:lnTo>
                    <a:lnTo>
                      <a:pt x="580" y="429"/>
                    </a:lnTo>
                    <a:lnTo>
                      <a:pt x="580" y="429"/>
                    </a:lnTo>
                    <a:lnTo>
                      <a:pt x="580" y="429"/>
                    </a:lnTo>
                    <a:lnTo>
                      <a:pt x="580" y="420"/>
                    </a:lnTo>
                    <a:lnTo>
                      <a:pt x="580" y="420"/>
                    </a:lnTo>
                    <a:lnTo>
                      <a:pt x="580" y="420"/>
                    </a:lnTo>
                    <a:lnTo>
                      <a:pt x="580" y="420"/>
                    </a:lnTo>
                    <a:lnTo>
                      <a:pt x="580" y="420"/>
                    </a:lnTo>
                    <a:lnTo>
                      <a:pt x="580" y="420"/>
                    </a:lnTo>
                    <a:lnTo>
                      <a:pt x="580" y="420"/>
                    </a:lnTo>
                    <a:lnTo>
                      <a:pt x="580" y="420"/>
                    </a:lnTo>
                    <a:lnTo>
                      <a:pt x="580" y="420"/>
                    </a:lnTo>
                    <a:lnTo>
                      <a:pt x="571" y="420"/>
                    </a:lnTo>
                    <a:lnTo>
                      <a:pt x="571" y="411"/>
                    </a:lnTo>
                    <a:lnTo>
                      <a:pt x="571" y="411"/>
                    </a:lnTo>
                    <a:lnTo>
                      <a:pt x="571" y="411"/>
                    </a:lnTo>
                    <a:lnTo>
                      <a:pt x="571" y="411"/>
                    </a:lnTo>
                    <a:lnTo>
                      <a:pt x="562" y="411"/>
                    </a:lnTo>
                    <a:lnTo>
                      <a:pt x="562" y="411"/>
                    </a:lnTo>
                    <a:lnTo>
                      <a:pt x="562" y="411"/>
                    </a:lnTo>
                    <a:lnTo>
                      <a:pt x="553" y="411"/>
                    </a:lnTo>
                    <a:lnTo>
                      <a:pt x="553" y="411"/>
                    </a:lnTo>
                    <a:lnTo>
                      <a:pt x="553" y="411"/>
                    </a:lnTo>
                    <a:lnTo>
                      <a:pt x="545" y="411"/>
                    </a:lnTo>
                    <a:lnTo>
                      <a:pt x="545" y="411"/>
                    </a:lnTo>
                    <a:lnTo>
                      <a:pt x="545" y="402"/>
                    </a:lnTo>
                    <a:lnTo>
                      <a:pt x="545" y="402"/>
                    </a:lnTo>
                    <a:lnTo>
                      <a:pt x="545" y="402"/>
                    </a:lnTo>
                    <a:lnTo>
                      <a:pt x="545" y="402"/>
                    </a:lnTo>
                    <a:lnTo>
                      <a:pt x="545" y="402"/>
                    </a:lnTo>
                    <a:lnTo>
                      <a:pt x="545" y="402"/>
                    </a:lnTo>
                    <a:lnTo>
                      <a:pt x="545" y="402"/>
                    </a:lnTo>
                    <a:lnTo>
                      <a:pt x="536" y="393"/>
                    </a:lnTo>
                    <a:lnTo>
                      <a:pt x="536" y="393"/>
                    </a:lnTo>
                    <a:lnTo>
                      <a:pt x="536" y="393"/>
                    </a:lnTo>
                    <a:lnTo>
                      <a:pt x="536" y="393"/>
                    </a:lnTo>
                    <a:lnTo>
                      <a:pt x="527" y="393"/>
                    </a:lnTo>
                    <a:lnTo>
                      <a:pt x="527" y="393"/>
                    </a:lnTo>
                    <a:lnTo>
                      <a:pt x="527" y="393"/>
                    </a:lnTo>
                    <a:lnTo>
                      <a:pt x="527" y="393"/>
                    </a:lnTo>
                    <a:lnTo>
                      <a:pt x="527" y="393"/>
                    </a:lnTo>
                    <a:lnTo>
                      <a:pt x="527" y="384"/>
                    </a:lnTo>
                    <a:lnTo>
                      <a:pt x="527" y="384"/>
                    </a:lnTo>
                    <a:lnTo>
                      <a:pt x="527" y="384"/>
                    </a:lnTo>
                    <a:lnTo>
                      <a:pt x="527" y="384"/>
                    </a:lnTo>
                    <a:lnTo>
                      <a:pt x="527" y="384"/>
                    </a:lnTo>
                    <a:lnTo>
                      <a:pt x="536" y="384"/>
                    </a:lnTo>
                    <a:lnTo>
                      <a:pt x="536" y="384"/>
                    </a:lnTo>
                    <a:lnTo>
                      <a:pt x="536" y="384"/>
                    </a:lnTo>
                    <a:lnTo>
                      <a:pt x="536" y="384"/>
                    </a:lnTo>
                    <a:lnTo>
                      <a:pt x="536" y="384"/>
                    </a:lnTo>
                    <a:lnTo>
                      <a:pt x="545" y="384"/>
                    </a:lnTo>
                    <a:lnTo>
                      <a:pt x="545" y="384"/>
                    </a:lnTo>
                    <a:lnTo>
                      <a:pt x="545" y="384"/>
                    </a:lnTo>
                    <a:lnTo>
                      <a:pt x="545" y="384"/>
                    </a:lnTo>
                    <a:lnTo>
                      <a:pt x="545" y="384"/>
                    </a:lnTo>
                    <a:lnTo>
                      <a:pt x="545" y="384"/>
                    </a:lnTo>
                    <a:lnTo>
                      <a:pt x="553" y="384"/>
                    </a:lnTo>
                    <a:lnTo>
                      <a:pt x="553" y="375"/>
                    </a:lnTo>
                    <a:lnTo>
                      <a:pt x="553" y="375"/>
                    </a:lnTo>
                    <a:lnTo>
                      <a:pt x="553" y="375"/>
                    </a:lnTo>
                    <a:lnTo>
                      <a:pt x="553" y="367"/>
                    </a:lnTo>
                    <a:lnTo>
                      <a:pt x="562" y="367"/>
                    </a:lnTo>
                    <a:lnTo>
                      <a:pt x="562" y="367"/>
                    </a:lnTo>
                    <a:lnTo>
                      <a:pt x="562" y="358"/>
                    </a:lnTo>
                    <a:lnTo>
                      <a:pt x="562" y="358"/>
                    </a:lnTo>
                    <a:lnTo>
                      <a:pt x="553" y="358"/>
                    </a:lnTo>
                    <a:lnTo>
                      <a:pt x="553" y="358"/>
                    </a:lnTo>
                    <a:lnTo>
                      <a:pt x="553" y="349"/>
                    </a:lnTo>
                    <a:lnTo>
                      <a:pt x="553" y="349"/>
                    </a:lnTo>
                    <a:lnTo>
                      <a:pt x="553" y="349"/>
                    </a:lnTo>
                    <a:lnTo>
                      <a:pt x="545" y="340"/>
                    </a:lnTo>
                    <a:lnTo>
                      <a:pt x="545" y="340"/>
                    </a:lnTo>
                    <a:lnTo>
                      <a:pt x="545" y="331"/>
                    </a:lnTo>
                    <a:lnTo>
                      <a:pt x="536" y="331"/>
                    </a:lnTo>
                    <a:lnTo>
                      <a:pt x="536" y="322"/>
                    </a:lnTo>
                    <a:lnTo>
                      <a:pt x="536" y="322"/>
                    </a:lnTo>
                    <a:lnTo>
                      <a:pt x="527" y="313"/>
                    </a:lnTo>
                    <a:lnTo>
                      <a:pt x="527" y="313"/>
                    </a:lnTo>
                    <a:lnTo>
                      <a:pt x="518" y="304"/>
                    </a:lnTo>
                    <a:lnTo>
                      <a:pt x="518" y="304"/>
                    </a:lnTo>
                    <a:lnTo>
                      <a:pt x="509" y="304"/>
                    </a:lnTo>
                    <a:lnTo>
                      <a:pt x="500" y="304"/>
                    </a:lnTo>
                    <a:lnTo>
                      <a:pt x="500" y="304"/>
                    </a:lnTo>
                    <a:lnTo>
                      <a:pt x="491" y="304"/>
                    </a:lnTo>
                    <a:lnTo>
                      <a:pt x="482" y="304"/>
                    </a:lnTo>
                    <a:lnTo>
                      <a:pt x="473" y="304"/>
                    </a:lnTo>
                    <a:lnTo>
                      <a:pt x="473" y="304"/>
                    </a:lnTo>
                    <a:lnTo>
                      <a:pt x="464" y="304"/>
                    </a:lnTo>
                    <a:lnTo>
                      <a:pt x="464" y="304"/>
                    </a:lnTo>
                    <a:lnTo>
                      <a:pt x="455" y="304"/>
                    </a:lnTo>
                    <a:lnTo>
                      <a:pt x="446" y="304"/>
                    </a:lnTo>
                    <a:lnTo>
                      <a:pt x="446" y="304"/>
                    </a:lnTo>
                    <a:lnTo>
                      <a:pt x="437" y="304"/>
                    </a:lnTo>
                    <a:lnTo>
                      <a:pt x="437" y="304"/>
                    </a:lnTo>
                    <a:lnTo>
                      <a:pt x="428" y="304"/>
                    </a:lnTo>
                    <a:lnTo>
                      <a:pt x="428" y="304"/>
                    </a:lnTo>
                    <a:lnTo>
                      <a:pt x="428" y="304"/>
                    </a:lnTo>
                    <a:lnTo>
                      <a:pt x="428" y="304"/>
                    </a:lnTo>
                    <a:lnTo>
                      <a:pt x="428" y="304"/>
                    </a:lnTo>
                    <a:lnTo>
                      <a:pt x="428" y="304"/>
                    </a:lnTo>
                    <a:lnTo>
                      <a:pt x="428" y="295"/>
                    </a:lnTo>
                    <a:lnTo>
                      <a:pt x="428" y="295"/>
                    </a:lnTo>
                    <a:lnTo>
                      <a:pt x="428" y="295"/>
                    </a:lnTo>
                    <a:lnTo>
                      <a:pt x="428" y="295"/>
                    </a:lnTo>
                    <a:lnTo>
                      <a:pt x="437" y="286"/>
                    </a:lnTo>
                    <a:lnTo>
                      <a:pt x="437" y="286"/>
                    </a:lnTo>
                    <a:lnTo>
                      <a:pt x="446" y="277"/>
                    </a:lnTo>
                    <a:lnTo>
                      <a:pt x="446" y="277"/>
                    </a:lnTo>
                    <a:lnTo>
                      <a:pt x="455" y="277"/>
                    </a:lnTo>
                    <a:lnTo>
                      <a:pt x="455" y="268"/>
                    </a:lnTo>
                    <a:lnTo>
                      <a:pt x="464" y="268"/>
                    </a:lnTo>
                    <a:lnTo>
                      <a:pt x="464" y="259"/>
                    </a:lnTo>
                    <a:lnTo>
                      <a:pt x="464" y="259"/>
                    </a:lnTo>
                    <a:lnTo>
                      <a:pt x="464" y="250"/>
                    </a:lnTo>
                    <a:lnTo>
                      <a:pt x="473" y="242"/>
                    </a:lnTo>
                    <a:lnTo>
                      <a:pt x="473" y="242"/>
                    </a:lnTo>
                    <a:lnTo>
                      <a:pt x="473" y="233"/>
                    </a:lnTo>
                    <a:lnTo>
                      <a:pt x="473" y="233"/>
                    </a:lnTo>
                    <a:lnTo>
                      <a:pt x="482" y="224"/>
                    </a:lnTo>
                    <a:lnTo>
                      <a:pt x="482" y="215"/>
                    </a:lnTo>
                    <a:lnTo>
                      <a:pt x="491" y="206"/>
                    </a:lnTo>
                    <a:lnTo>
                      <a:pt x="491" y="206"/>
                    </a:lnTo>
                    <a:lnTo>
                      <a:pt x="500" y="197"/>
                    </a:lnTo>
                    <a:lnTo>
                      <a:pt x="509" y="188"/>
                    </a:lnTo>
                    <a:lnTo>
                      <a:pt x="509" y="179"/>
                    </a:lnTo>
                    <a:lnTo>
                      <a:pt x="518" y="170"/>
                    </a:lnTo>
                    <a:lnTo>
                      <a:pt x="518" y="170"/>
                    </a:lnTo>
                    <a:lnTo>
                      <a:pt x="527" y="161"/>
                    </a:lnTo>
                    <a:lnTo>
                      <a:pt x="527" y="152"/>
                    </a:lnTo>
                    <a:lnTo>
                      <a:pt x="527" y="152"/>
                    </a:lnTo>
                    <a:lnTo>
                      <a:pt x="527" y="143"/>
                    </a:lnTo>
                    <a:lnTo>
                      <a:pt x="527" y="143"/>
                    </a:lnTo>
                    <a:lnTo>
                      <a:pt x="518" y="134"/>
                    </a:lnTo>
                    <a:lnTo>
                      <a:pt x="518" y="134"/>
                    </a:lnTo>
                    <a:lnTo>
                      <a:pt x="518" y="125"/>
                    </a:lnTo>
                    <a:lnTo>
                      <a:pt x="518" y="125"/>
                    </a:lnTo>
                    <a:lnTo>
                      <a:pt x="518" y="117"/>
                    </a:lnTo>
                    <a:lnTo>
                      <a:pt x="509" y="117"/>
                    </a:lnTo>
                    <a:lnTo>
                      <a:pt x="509" y="108"/>
                    </a:lnTo>
                    <a:lnTo>
                      <a:pt x="509" y="108"/>
                    </a:lnTo>
                    <a:lnTo>
                      <a:pt x="500" y="108"/>
                    </a:lnTo>
                    <a:lnTo>
                      <a:pt x="500" y="108"/>
                    </a:lnTo>
                    <a:lnTo>
                      <a:pt x="491" y="99"/>
                    </a:lnTo>
                    <a:lnTo>
                      <a:pt x="491" y="99"/>
                    </a:lnTo>
                    <a:lnTo>
                      <a:pt x="482" y="99"/>
                    </a:lnTo>
                    <a:lnTo>
                      <a:pt x="482" y="99"/>
                    </a:lnTo>
                    <a:lnTo>
                      <a:pt x="482" y="108"/>
                    </a:lnTo>
                    <a:lnTo>
                      <a:pt x="473" y="108"/>
                    </a:lnTo>
                    <a:lnTo>
                      <a:pt x="473" y="108"/>
                    </a:lnTo>
                    <a:lnTo>
                      <a:pt x="464" y="108"/>
                    </a:lnTo>
                    <a:lnTo>
                      <a:pt x="464" y="99"/>
                    </a:lnTo>
                    <a:lnTo>
                      <a:pt x="464" y="99"/>
                    </a:lnTo>
                    <a:lnTo>
                      <a:pt x="455" y="90"/>
                    </a:lnTo>
                    <a:lnTo>
                      <a:pt x="455" y="90"/>
                    </a:lnTo>
                    <a:lnTo>
                      <a:pt x="455" y="81"/>
                    </a:lnTo>
                    <a:lnTo>
                      <a:pt x="455" y="72"/>
                    </a:lnTo>
                    <a:lnTo>
                      <a:pt x="455" y="63"/>
                    </a:lnTo>
                    <a:lnTo>
                      <a:pt x="455" y="63"/>
                    </a:lnTo>
                    <a:lnTo>
                      <a:pt x="455" y="54"/>
                    </a:lnTo>
                    <a:lnTo>
                      <a:pt x="446" y="54"/>
                    </a:lnTo>
                    <a:lnTo>
                      <a:pt x="446" y="54"/>
                    </a:lnTo>
                    <a:lnTo>
                      <a:pt x="437" y="45"/>
                    </a:lnTo>
                    <a:lnTo>
                      <a:pt x="437" y="45"/>
                    </a:lnTo>
                    <a:lnTo>
                      <a:pt x="428" y="54"/>
                    </a:lnTo>
                    <a:lnTo>
                      <a:pt x="428" y="54"/>
                    </a:lnTo>
                    <a:lnTo>
                      <a:pt x="419" y="54"/>
                    </a:lnTo>
                    <a:lnTo>
                      <a:pt x="419" y="45"/>
                    </a:lnTo>
                    <a:lnTo>
                      <a:pt x="419" y="45"/>
                    </a:lnTo>
                    <a:lnTo>
                      <a:pt x="411" y="45"/>
                    </a:lnTo>
                    <a:lnTo>
                      <a:pt x="411" y="45"/>
                    </a:lnTo>
                    <a:lnTo>
                      <a:pt x="411" y="36"/>
                    </a:lnTo>
                    <a:lnTo>
                      <a:pt x="402" y="36"/>
                    </a:lnTo>
                    <a:lnTo>
                      <a:pt x="402" y="36"/>
                    </a:lnTo>
                    <a:lnTo>
                      <a:pt x="402" y="27"/>
                    </a:lnTo>
                    <a:lnTo>
                      <a:pt x="393" y="27"/>
                    </a:lnTo>
                    <a:lnTo>
                      <a:pt x="393" y="27"/>
                    </a:lnTo>
                    <a:lnTo>
                      <a:pt x="393" y="27"/>
                    </a:lnTo>
                    <a:lnTo>
                      <a:pt x="393" y="27"/>
                    </a:lnTo>
                    <a:lnTo>
                      <a:pt x="384" y="27"/>
                    </a:lnTo>
                    <a:lnTo>
                      <a:pt x="384" y="27"/>
                    </a:lnTo>
                    <a:lnTo>
                      <a:pt x="384" y="36"/>
                    </a:lnTo>
                    <a:lnTo>
                      <a:pt x="384" y="36"/>
                    </a:lnTo>
                    <a:lnTo>
                      <a:pt x="375" y="27"/>
                    </a:lnTo>
                    <a:lnTo>
                      <a:pt x="375" y="27"/>
                    </a:lnTo>
                    <a:lnTo>
                      <a:pt x="375" y="27"/>
                    </a:lnTo>
                    <a:lnTo>
                      <a:pt x="366" y="27"/>
                    </a:lnTo>
                    <a:lnTo>
                      <a:pt x="366" y="18"/>
                    </a:lnTo>
                    <a:lnTo>
                      <a:pt x="357" y="18"/>
                    </a:lnTo>
                    <a:lnTo>
                      <a:pt x="357" y="18"/>
                    </a:lnTo>
                    <a:lnTo>
                      <a:pt x="357" y="9"/>
                    </a:lnTo>
                    <a:lnTo>
                      <a:pt x="348" y="9"/>
                    </a:lnTo>
                    <a:lnTo>
                      <a:pt x="348" y="9"/>
                    </a:lnTo>
                    <a:lnTo>
                      <a:pt x="348" y="9"/>
                    </a:lnTo>
                    <a:lnTo>
                      <a:pt x="348" y="9"/>
                    </a:lnTo>
                    <a:lnTo>
                      <a:pt x="339" y="9"/>
                    </a:lnTo>
                    <a:lnTo>
                      <a:pt x="339" y="9"/>
                    </a:lnTo>
                    <a:lnTo>
                      <a:pt x="339" y="0"/>
                    </a:lnTo>
                    <a:lnTo>
                      <a:pt x="339" y="0"/>
                    </a:lnTo>
                    <a:lnTo>
                      <a:pt x="330" y="0"/>
                    </a:lnTo>
                    <a:lnTo>
                      <a:pt x="330" y="0"/>
                    </a:lnTo>
                    <a:lnTo>
                      <a:pt x="330" y="0"/>
                    </a:lnTo>
                    <a:lnTo>
                      <a:pt x="330" y="0"/>
                    </a:lnTo>
                    <a:lnTo>
                      <a:pt x="321" y="9"/>
                    </a:lnTo>
                    <a:lnTo>
                      <a:pt x="321" y="9"/>
                    </a:lnTo>
                    <a:lnTo>
                      <a:pt x="321" y="9"/>
                    </a:lnTo>
                    <a:lnTo>
                      <a:pt x="321" y="9"/>
                    </a:lnTo>
                    <a:lnTo>
                      <a:pt x="312" y="9"/>
                    </a:lnTo>
                    <a:lnTo>
                      <a:pt x="312" y="9"/>
                    </a:lnTo>
                    <a:lnTo>
                      <a:pt x="303" y="18"/>
                    </a:lnTo>
                    <a:lnTo>
                      <a:pt x="303" y="18"/>
                    </a:lnTo>
                    <a:lnTo>
                      <a:pt x="303" y="27"/>
                    </a:lnTo>
                    <a:lnTo>
                      <a:pt x="294" y="27"/>
                    </a:lnTo>
                    <a:lnTo>
                      <a:pt x="294" y="36"/>
                    </a:lnTo>
                    <a:lnTo>
                      <a:pt x="286" y="36"/>
                    </a:lnTo>
                    <a:lnTo>
                      <a:pt x="286" y="36"/>
                    </a:lnTo>
                    <a:lnTo>
                      <a:pt x="277" y="45"/>
                    </a:lnTo>
                    <a:lnTo>
                      <a:pt x="277" y="45"/>
                    </a:lnTo>
                    <a:lnTo>
                      <a:pt x="268" y="45"/>
                    </a:lnTo>
                    <a:lnTo>
                      <a:pt x="268" y="54"/>
                    </a:lnTo>
                    <a:lnTo>
                      <a:pt x="268" y="54"/>
                    </a:lnTo>
                    <a:lnTo>
                      <a:pt x="259" y="54"/>
                    </a:lnTo>
                    <a:lnTo>
                      <a:pt x="259" y="63"/>
                    </a:lnTo>
                    <a:lnTo>
                      <a:pt x="259" y="63"/>
                    </a:lnTo>
                    <a:lnTo>
                      <a:pt x="250" y="63"/>
                    </a:lnTo>
                    <a:lnTo>
                      <a:pt x="250" y="63"/>
                    </a:lnTo>
                    <a:lnTo>
                      <a:pt x="250" y="72"/>
                    </a:lnTo>
                    <a:lnTo>
                      <a:pt x="250" y="72"/>
                    </a:lnTo>
                    <a:lnTo>
                      <a:pt x="250" y="72"/>
                    </a:lnTo>
                    <a:lnTo>
                      <a:pt x="241" y="81"/>
                    </a:lnTo>
                    <a:lnTo>
                      <a:pt x="241" y="81"/>
                    </a:lnTo>
                    <a:lnTo>
                      <a:pt x="241" y="81"/>
                    </a:lnTo>
                    <a:lnTo>
                      <a:pt x="232" y="81"/>
                    </a:lnTo>
                    <a:lnTo>
                      <a:pt x="232" y="81"/>
                    </a:lnTo>
                    <a:lnTo>
                      <a:pt x="223" y="81"/>
                    </a:lnTo>
                    <a:lnTo>
                      <a:pt x="223" y="81"/>
                    </a:lnTo>
                    <a:lnTo>
                      <a:pt x="223" y="81"/>
                    </a:lnTo>
                    <a:lnTo>
                      <a:pt x="214" y="81"/>
                    </a:lnTo>
                    <a:lnTo>
                      <a:pt x="214" y="81"/>
                    </a:lnTo>
                    <a:lnTo>
                      <a:pt x="205" y="81"/>
                    </a:lnTo>
                    <a:lnTo>
                      <a:pt x="205" y="81"/>
                    </a:lnTo>
                    <a:lnTo>
                      <a:pt x="205" y="81"/>
                    </a:lnTo>
                    <a:lnTo>
                      <a:pt x="205" y="81"/>
                    </a:lnTo>
                    <a:lnTo>
                      <a:pt x="205" y="81"/>
                    </a:lnTo>
                    <a:lnTo>
                      <a:pt x="205" y="90"/>
                    </a:lnTo>
                    <a:lnTo>
                      <a:pt x="205" y="90"/>
                    </a:lnTo>
                    <a:lnTo>
                      <a:pt x="205" y="90"/>
                    </a:lnTo>
                    <a:lnTo>
                      <a:pt x="205" y="90"/>
                    </a:lnTo>
                    <a:lnTo>
                      <a:pt x="205" y="99"/>
                    </a:lnTo>
                    <a:lnTo>
                      <a:pt x="205" y="99"/>
                    </a:lnTo>
                    <a:lnTo>
                      <a:pt x="205" y="99"/>
                    </a:lnTo>
                    <a:lnTo>
                      <a:pt x="196" y="99"/>
                    </a:lnTo>
                    <a:lnTo>
                      <a:pt x="196" y="99"/>
                    </a:lnTo>
                    <a:lnTo>
                      <a:pt x="196" y="99"/>
                    </a:lnTo>
                    <a:lnTo>
                      <a:pt x="187" y="99"/>
                    </a:lnTo>
                    <a:lnTo>
                      <a:pt x="187" y="99"/>
                    </a:lnTo>
                    <a:lnTo>
                      <a:pt x="187" y="99"/>
                    </a:lnTo>
                    <a:lnTo>
                      <a:pt x="178" y="99"/>
                    </a:lnTo>
                    <a:lnTo>
                      <a:pt x="178" y="99"/>
                    </a:lnTo>
                    <a:lnTo>
                      <a:pt x="178" y="99"/>
                    </a:lnTo>
                    <a:lnTo>
                      <a:pt x="169" y="99"/>
                    </a:lnTo>
                    <a:lnTo>
                      <a:pt x="169" y="99"/>
                    </a:lnTo>
                    <a:lnTo>
                      <a:pt x="160" y="99"/>
                    </a:lnTo>
                    <a:lnTo>
                      <a:pt x="160" y="99"/>
                    </a:lnTo>
                    <a:lnTo>
                      <a:pt x="152" y="99"/>
                    </a:lnTo>
                    <a:lnTo>
                      <a:pt x="152" y="99"/>
                    </a:lnTo>
                    <a:lnTo>
                      <a:pt x="143" y="99"/>
                    </a:lnTo>
                    <a:lnTo>
                      <a:pt x="134" y="90"/>
                    </a:lnTo>
                    <a:lnTo>
                      <a:pt x="125" y="90"/>
                    </a:lnTo>
                    <a:lnTo>
                      <a:pt x="116" y="90"/>
                    </a:lnTo>
                    <a:lnTo>
                      <a:pt x="116" y="90"/>
                    </a:lnTo>
                    <a:lnTo>
                      <a:pt x="107" y="81"/>
                    </a:lnTo>
                    <a:lnTo>
                      <a:pt x="98" y="81"/>
                    </a:lnTo>
                    <a:lnTo>
                      <a:pt x="98" y="81"/>
                    </a:lnTo>
                    <a:lnTo>
                      <a:pt x="89" y="81"/>
                    </a:lnTo>
                    <a:lnTo>
                      <a:pt x="89" y="81"/>
                    </a:lnTo>
                    <a:lnTo>
                      <a:pt x="80" y="81"/>
                    </a:lnTo>
                    <a:lnTo>
                      <a:pt x="80" y="81"/>
                    </a:lnTo>
                    <a:lnTo>
                      <a:pt x="71" y="81"/>
                    </a:lnTo>
                    <a:lnTo>
                      <a:pt x="71" y="72"/>
                    </a:lnTo>
                    <a:lnTo>
                      <a:pt x="62" y="72"/>
                    </a:lnTo>
                    <a:lnTo>
                      <a:pt x="62" y="72"/>
                    </a:lnTo>
                    <a:lnTo>
                      <a:pt x="62" y="63"/>
                    </a:lnTo>
                    <a:lnTo>
                      <a:pt x="62" y="63"/>
                    </a:lnTo>
                    <a:lnTo>
                      <a:pt x="53" y="63"/>
                    </a:lnTo>
                    <a:lnTo>
                      <a:pt x="53" y="54"/>
                    </a:lnTo>
                    <a:lnTo>
                      <a:pt x="53" y="54"/>
                    </a:lnTo>
                    <a:lnTo>
                      <a:pt x="53" y="54"/>
                    </a:lnTo>
                    <a:lnTo>
                      <a:pt x="53" y="54"/>
                    </a:lnTo>
                    <a:lnTo>
                      <a:pt x="44" y="45"/>
                    </a:lnTo>
                    <a:lnTo>
                      <a:pt x="44" y="45"/>
                    </a:lnTo>
                    <a:lnTo>
                      <a:pt x="44" y="45"/>
                    </a:lnTo>
                    <a:lnTo>
                      <a:pt x="44" y="45"/>
                    </a:lnTo>
                    <a:lnTo>
                      <a:pt x="35" y="45"/>
                    </a:lnTo>
                    <a:lnTo>
                      <a:pt x="35" y="45"/>
                    </a:lnTo>
                    <a:lnTo>
                      <a:pt x="35" y="45"/>
                    </a:lnTo>
                    <a:lnTo>
                      <a:pt x="26" y="45"/>
                    </a:lnTo>
                    <a:lnTo>
                      <a:pt x="26" y="45"/>
                    </a:lnTo>
                    <a:lnTo>
                      <a:pt x="26" y="54"/>
                    </a:lnTo>
                    <a:lnTo>
                      <a:pt x="26" y="54"/>
                    </a:lnTo>
                    <a:lnTo>
                      <a:pt x="26" y="63"/>
                    </a:lnTo>
                    <a:lnTo>
                      <a:pt x="26" y="63"/>
                    </a:lnTo>
                    <a:lnTo>
                      <a:pt x="26" y="72"/>
                    </a:lnTo>
                    <a:lnTo>
                      <a:pt x="26" y="72"/>
                    </a:lnTo>
                    <a:lnTo>
                      <a:pt x="26" y="72"/>
                    </a:lnTo>
                    <a:lnTo>
                      <a:pt x="26" y="81"/>
                    </a:lnTo>
                    <a:lnTo>
                      <a:pt x="26" y="81"/>
                    </a:lnTo>
                    <a:lnTo>
                      <a:pt x="26" y="81"/>
                    </a:lnTo>
                    <a:lnTo>
                      <a:pt x="26" y="90"/>
                    </a:lnTo>
                    <a:lnTo>
                      <a:pt x="26" y="90"/>
                    </a:lnTo>
                    <a:lnTo>
                      <a:pt x="26" y="90"/>
                    </a:lnTo>
                    <a:lnTo>
                      <a:pt x="26" y="99"/>
                    </a:lnTo>
                    <a:lnTo>
                      <a:pt x="26" y="99"/>
                    </a:lnTo>
                    <a:lnTo>
                      <a:pt x="18" y="99"/>
                    </a:lnTo>
                    <a:lnTo>
                      <a:pt x="18" y="108"/>
                    </a:lnTo>
                    <a:lnTo>
                      <a:pt x="18" y="108"/>
                    </a:lnTo>
                    <a:lnTo>
                      <a:pt x="18" y="108"/>
                    </a:lnTo>
                    <a:lnTo>
                      <a:pt x="9" y="117"/>
                    </a:lnTo>
                    <a:lnTo>
                      <a:pt x="9" y="117"/>
                    </a:lnTo>
                    <a:lnTo>
                      <a:pt x="9" y="117"/>
                    </a:lnTo>
                    <a:lnTo>
                      <a:pt x="9" y="125"/>
                    </a:lnTo>
                    <a:lnTo>
                      <a:pt x="9" y="125"/>
                    </a:lnTo>
                    <a:lnTo>
                      <a:pt x="9" y="134"/>
                    </a:lnTo>
                    <a:lnTo>
                      <a:pt x="0" y="134"/>
                    </a:lnTo>
                    <a:lnTo>
                      <a:pt x="0" y="143"/>
                    </a:lnTo>
                    <a:lnTo>
                      <a:pt x="0" y="143"/>
                    </a:lnTo>
                    <a:lnTo>
                      <a:pt x="0" y="152"/>
                    </a:lnTo>
                    <a:lnTo>
                      <a:pt x="0" y="152"/>
                    </a:lnTo>
                    <a:lnTo>
                      <a:pt x="0" y="152"/>
                    </a:lnTo>
                    <a:lnTo>
                      <a:pt x="0" y="152"/>
                    </a:lnTo>
                    <a:lnTo>
                      <a:pt x="0" y="152"/>
                    </a:lnTo>
                    <a:lnTo>
                      <a:pt x="0" y="152"/>
                    </a:lnTo>
                    <a:lnTo>
                      <a:pt x="0" y="152"/>
                    </a:lnTo>
                    <a:lnTo>
                      <a:pt x="0" y="152"/>
                    </a:lnTo>
                    <a:lnTo>
                      <a:pt x="0" y="152"/>
                    </a:lnTo>
                    <a:lnTo>
                      <a:pt x="0" y="152"/>
                    </a:lnTo>
                  </a:path>
                </a:pathLst>
              </a:custGeom>
              <a:solidFill>
                <a:schemeClr val="tx2">
                  <a:lumMod val="60000"/>
                  <a:lumOff val="40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46" name="Freeform 53">
                <a:extLst>
                  <a:ext uri="{FF2B5EF4-FFF2-40B4-BE49-F238E27FC236}">
                    <a16:creationId xmlns:a16="http://schemas.microsoft.com/office/drawing/2014/main" id="{C7367DFB-6EF1-4096-BDFB-BB71E0EB232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556" y="5272"/>
                <a:ext cx="1842" cy="1504"/>
              </a:xfrm>
              <a:custGeom>
                <a:avLst/>
                <a:gdLst>
                  <a:gd name="T0" fmla="*/ 35 w 830"/>
                  <a:gd name="T1" fmla="*/ 571 h 634"/>
                  <a:gd name="T2" fmla="*/ 8 w 830"/>
                  <a:gd name="T3" fmla="*/ 598 h 634"/>
                  <a:gd name="T4" fmla="*/ 26 w 830"/>
                  <a:gd name="T5" fmla="*/ 634 h 634"/>
                  <a:gd name="T6" fmla="*/ 53 w 830"/>
                  <a:gd name="T7" fmla="*/ 607 h 634"/>
                  <a:gd name="T8" fmla="*/ 80 w 830"/>
                  <a:gd name="T9" fmla="*/ 598 h 634"/>
                  <a:gd name="T10" fmla="*/ 134 w 830"/>
                  <a:gd name="T11" fmla="*/ 589 h 634"/>
                  <a:gd name="T12" fmla="*/ 160 w 830"/>
                  <a:gd name="T13" fmla="*/ 544 h 634"/>
                  <a:gd name="T14" fmla="*/ 205 w 830"/>
                  <a:gd name="T15" fmla="*/ 517 h 634"/>
                  <a:gd name="T16" fmla="*/ 223 w 830"/>
                  <a:gd name="T17" fmla="*/ 526 h 634"/>
                  <a:gd name="T18" fmla="*/ 250 w 830"/>
                  <a:gd name="T19" fmla="*/ 553 h 634"/>
                  <a:gd name="T20" fmla="*/ 285 w 830"/>
                  <a:gd name="T21" fmla="*/ 562 h 634"/>
                  <a:gd name="T22" fmla="*/ 294 w 830"/>
                  <a:gd name="T23" fmla="*/ 580 h 634"/>
                  <a:gd name="T24" fmla="*/ 339 w 830"/>
                  <a:gd name="T25" fmla="*/ 571 h 634"/>
                  <a:gd name="T26" fmla="*/ 375 w 830"/>
                  <a:gd name="T27" fmla="*/ 535 h 634"/>
                  <a:gd name="T28" fmla="*/ 401 w 830"/>
                  <a:gd name="T29" fmla="*/ 526 h 634"/>
                  <a:gd name="T30" fmla="*/ 401 w 830"/>
                  <a:gd name="T31" fmla="*/ 482 h 634"/>
                  <a:gd name="T32" fmla="*/ 428 w 830"/>
                  <a:gd name="T33" fmla="*/ 464 h 634"/>
                  <a:gd name="T34" fmla="*/ 473 w 830"/>
                  <a:gd name="T35" fmla="*/ 482 h 634"/>
                  <a:gd name="T36" fmla="*/ 500 w 830"/>
                  <a:gd name="T37" fmla="*/ 509 h 634"/>
                  <a:gd name="T38" fmla="*/ 509 w 830"/>
                  <a:gd name="T39" fmla="*/ 473 h 634"/>
                  <a:gd name="T40" fmla="*/ 535 w 830"/>
                  <a:gd name="T41" fmla="*/ 491 h 634"/>
                  <a:gd name="T42" fmla="*/ 544 w 830"/>
                  <a:gd name="T43" fmla="*/ 544 h 634"/>
                  <a:gd name="T44" fmla="*/ 580 w 830"/>
                  <a:gd name="T45" fmla="*/ 571 h 634"/>
                  <a:gd name="T46" fmla="*/ 625 w 830"/>
                  <a:gd name="T47" fmla="*/ 580 h 634"/>
                  <a:gd name="T48" fmla="*/ 669 w 830"/>
                  <a:gd name="T49" fmla="*/ 571 h 634"/>
                  <a:gd name="T50" fmla="*/ 652 w 830"/>
                  <a:gd name="T51" fmla="*/ 544 h 634"/>
                  <a:gd name="T52" fmla="*/ 634 w 830"/>
                  <a:gd name="T53" fmla="*/ 509 h 634"/>
                  <a:gd name="T54" fmla="*/ 598 w 830"/>
                  <a:gd name="T55" fmla="*/ 473 h 634"/>
                  <a:gd name="T56" fmla="*/ 598 w 830"/>
                  <a:gd name="T57" fmla="*/ 437 h 634"/>
                  <a:gd name="T58" fmla="*/ 643 w 830"/>
                  <a:gd name="T59" fmla="*/ 410 h 634"/>
                  <a:gd name="T60" fmla="*/ 652 w 830"/>
                  <a:gd name="T61" fmla="*/ 357 h 634"/>
                  <a:gd name="T62" fmla="*/ 678 w 830"/>
                  <a:gd name="T63" fmla="*/ 339 h 634"/>
                  <a:gd name="T64" fmla="*/ 794 w 830"/>
                  <a:gd name="T65" fmla="*/ 348 h 634"/>
                  <a:gd name="T66" fmla="*/ 786 w 830"/>
                  <a:gd name="T67" fmla="*/ 285 h 634"/>
                  <a:gd name="T68" fmla="*/ 777 w 830"/>
                  <a:gd name="T69" fmla="*/ 241 h 634"/>
                  <a:gd name="T70" fmla="*/ 768 w 830"/>
                  <a:gd name="T71" fmla="*/ 169 h 634"/>
                  <a:gd name="T72" fmla="*/ 732 w 830"/>
                  <a:gd name="T73" fmla="*/ 107 h 634"/>
                  <a:gd name="T74" fmla="*/ 696 w 830"/>
                  <a:gd name="T75" fmla="*/ 89 h 634"/>
                  <a:gd name="T76" fmla="*/ 625 w 830"/>
                  <a:gd name="T77" fmla="*/ 80 h 634"/>
                  <a:gd name="T78" fmla="*/ 544 w 830"/>
                  <a:gd name="T79" fmla="*/ 26 h 634"/>
                  <a:gd name="T80" fmla="*/ 410 w 830"/>
                  <a:gd name="T81" fmla="*/ 0 h 634"/>
                  <a:gd name="T82" fmla="*/ 375 w 830"/>
                  <a:gd name="T83" fmla="*/ 17 h 634"/>
                  <a:gd name="T84" fmla="*/ 401 w 830"/>
                  <a:gd name="T85" fmla="*/ 44 h 634"/>
                  <a:gd name="T86" fmla="*/ 428 w 830"/>
                  <a:gd name="T87" fmla="*/ 62 h 634"/>
                  <a:gd name="T88" fmla="*/ 401 w 830"/>
                  <a:gd name="T89" fmla="*/ 71 h 634"/>
                  <a:gd name="T90" fmla="*/ 384 w 830"/>
                  <a:gd name="T91" fmla="*/ 107 h 634"/>
                  <a:gd name="T92" fmla="*/ 357 w 830"/>
                  <a:gd name="T93" fmla="*/ 116 h 634"/>
                  <a:gd name="T94" fmla="*/ 393 w 830"/>
                  <a:gd name="T95" fmla="*/ 133 h 634"/>
                  <a:gd name="T96" fmla="*/ 366 w 830"/>
                  <a:gd name="T97" fmla="*/ 160 h 634"/>
                  <a:gd name="T98" fmla="*/ 321 w 830"/>
                  <a:gd name="T99" fmla="*/ 169 h 634"/>
                  <a:gd name="T100" fmla="*/ 276 w 830"/>
                  <a:gd name="T101" fmla="*/ 187 h 634"/>
                  <a:gd name="T102" fmla="*/ 250 w 830"/>
                  <a:gd name="T103" fmla="*/ 160 h 634"/>
                  <a:gd name="T104" fmla="*/ 205 w 830"/>
                  <a:gd name="T105" fmla="*/ 169 h 634"/>
                  <a:gd name="T106" fmla="*/ 178 w 830"/>
                  <a:gd name="T107" fmla="*/ 196 h 634"/>
                  <a:gd name="T108" fmla="*/ 169 w 830"/>
                  <a:gd name="T109" fmla="*/ 259 h 634"/>
                  <a:gd name="T110" fmla="*/ 178 w 830"/>
                  <a:gd name="T111" fmla="*/ 330 h 634"/>
                  <a:gd name="T112" fmla="*/ 134 w 830"/>
                  <a:gd name="T113" fmla="*/ 348 h 634"/>
                  <a:gd name="T114" fmla="*/ 134 w 830"/>
                  <a:gd name="T115" fmla="*/ 419 h 634"/>
                  <a:gd name="T116" fmla="*/ 107 w 830"/>
                  <a:gd name="T117" fmla="*/ 437 h 634"/>
                  <a:gd name="T118" fmla="*/ 89 w 830"/>
                  <a:gd name="T119" fmla="*/ 482 h 634"/>
                  <a:gd name="T120" fmla="*/ 44 w 830"/>
                  <a:gd name="T121" fmla="*/ 500 h 63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</a:cxnLst>
                <a:rect l="0" t="0" r="r" b="b"/>
                <a:pathLst>
                  <a:path w="830" h="634">
                    <a:moveTo>
                      <a:pt x="17" y="491"/>
                    </a:moveTo>
                    <a:lnTo>
                      <a:pt x="17" y="491"/>
                    </a:lnTo>
                    <a:lnTo>
                      <a:pt x="17" y="500"/>
                    </a:lnTo>
                    <a:lnTo>
                      <a:pt x="17" y="500"/>
                    </a:lnTo>
                    <a:lnTo>
                      <a:pt x="17" y="500"/>
                    </a:lnTo>
                    <a:lnTo>
                      <a:pt x="26" y="509"/>
                    </a:lnTo>
                    <a:lnTo>
                      <a:pt x="26" y="509"/>
                    </a:lnTo>
                    <a:lnTo>
                      <a:pt x="26" y="509"/>
                    </a:lnTo>
                    <a:lnTo>
                      <a:pt x="26" y="517"/>
                    </a:lnTo>
                    <a:lnTo>
                      <a:pt x="26" y="517"/>
                    </a:lnTo>
                    <a:lnTo>
                      <a:pt x="26" y="526"/>
                    </a:lnTo>
                    <a:lnTo>
                      <a:pt x="26" y="526"/>
                    </a:lnTo>
                    <a:lnTo>
                      <a:pt x="26" y="535"/>
                    </a:lnTo>
                    <a:lnTo>
                      <a:pt x="35" y="535"/>
                    </a:lnTo>
                    <a:lnTo>
                      <a:pt x="35" y="544"/>
                    </a:lnTo>
                    <a:lnTo>
                      <a:pt x="35" y="544"/>
                    </a:lnTo>
                    <a:lnTo>
                      <a:pt x="35" y="544"/>
                    </a:lnTo>
                    <a:lnTo>
                      <a:pt x="35" y="553"/>
                    </a:lnTo>
                    <a:lnTo>
                      <a:pt x="35" y="553"/>
                    </a:lnTo>
                    <a:lnTo>
                      <a:pt x="35" y="562"/>
                    </a:lnTo>
                    <a:lnTo>
                      <a:pt x="35" y="562"/>
                    </a:lnTo>
                    <a:lnTo>
                      <a:pt x="35" y="571"/>
                    </a:lnTo>
                    <a:lnTo>
                      <a:pt x="35" y="571"/>
                    </a:lnTo>
                    <a:lnTo>
                      <a:pt x="35" y="580"/>
                    </a:lnTo>
                    <a:lnTo>
                      <a:pt x="35" y="580"/>
                    </a:lnTo>
                    <a:lnTo>
                      <a:pt x="35" y="580"/>
                    </a:lnTo>
                    <a:lnTo>
                      <a:pt x="26" y="580"/>
                    </a:lnTo>
                    <a:lnTo>
                      <a:pt x="26" y="580"/>
                    </a:lnTo>
                    <a:lnTo>
                      <a:pt x="26" y="580"/>
                    </a:lnTo>
                    <a:lnTo>
                      <a:pt x="26" y="580"/>
                    </a:lnTo>
                    <a:lnTo>
                      <a:pt x="26" y="580"/>
                    </a:lnTo>
                    <a:lnTo>
                      <a:pt x="26" y="580"/>
                    </a:lnTo>
                    <a:lnTo>
                      <a:pt x="17" y="580"/>
                    </a:lnTo>
                    <a:lnTo>
                      <a:pt x="17" y="580"/>
                    </a:lnTo>
                    <a:lnTo>
                      <a:pt x="17" y="580"/>
                    </a:lnTo>
                    <a:lnTo>
                      <a:pt x="17" y="589"/>
                    </a:lnTo>
                    <a:lnTo>
                      <a:pt x="17" y="589"/>
                    </a:lnTo>
                    <a:lnTo>
                      <a:pt x="8" y="589"/>
                    </a:lnTo>
                    <a:lnTo>
                      <a:pt x="8" y="589"/>
                    </a:lnTo>
                    <a:lnTo>
                      <a:pt x="8" y="589"/>
                    </a:lnTo>
                    <a:lnTo>
                      <a:pt x="8" y="589"/>
                    </a:lnTo>
                    <a:lnTo>
                      <a:pt x="8" y="589"/>
                    </a:lnTo>
                    <a:lnTo>
                      <a:pt x="8" y="598"/>
                    </a:lnTo>
                    <a:lnTo>
                      <a:pt x="8" y="598"/>
                    </a:lnTo>
                    <a:lnTo>
                      <a:pt x="0" y="598"/>
                    </a:lnTo>
                    <a:lnTo>
                      <a:pt x="0" y="607"/>
                    </a:lnTo>
                    <a:lnTo>
                      <a:pt x="0" y="607"/>
                    </a:lnTo>
                    <a:lnTo>
                      <a:pt x="0" y="607"/>
                    </a:lnTo>
                    <a:lnTo>
                      <a:pt x="0" y="616"/>
                    </a:lnTo>
                    <a:lnTo>
                      <a:pt x="0" y="616"/>
                    </a:lnTo>
                    <a:lnTo>
                      <a:pt x="0" y="616"/>
                    </a:lnTo>
                    <a:lnTo>
                      <a:pt x="8" y="616"/>
                    </a:lnTo>
                    <a:lnTo>
                      <a:pt x="8" y="625"/>
                    </a:lnTo>
                    <a:lnTo>
                      <a:pt x="8" y="625"/>
                    </a:lnTo>
                    <a:lnTo>
                      <a:pt x="8" y="625"/>
                    </a:lnTo>
                    <a:lnTo>
                      <a:pt x="8" y="634"/>
                    </a:lnTo>
                    <a:lnTo>
                      <a:pt x="8" y="634"/>
                    </a:lnTo>
                    <a:lnTo>
                      <a:pt x="8" y="634"/>
                    </a:lnTo>
                    <a:lnTo>
                      <a:pt x="8" y="634"/>
                    </a:lnTo>
                    <a:lnTo>
                      <a:pt x="17" y="634"/>
                    </a:lnTo>
                    <a:lnTo>
                      <a:pt x="17" y="634"/>
                    </a:lnTo>
                    <a:lnTo>
                      <a:pt x="17" y="634"/>
                    </a:lnTo>
                    <a:lnTo>
                      <a:pt x="17" y="634"/>
                    </a:lnTo>
                    <a:lnTo>
                      <a:pt x="26" y="634"/>
                    </a:lnTo>
                    <a:lnTo>
                      <a:pt x="26" y="634"/>
                    </a:lnTo>
                    <a:lnTo>
                      <a:pt x="26" y="634"/>
                    </a:lnTo>
                    <a:lnTo>
                      <a:pt x="35" y="634"/>
                    </a:lnTo>
                    <a:lnTo>
                      <a:pt x="35" y="634"/>
                    </a:lnTo>
                    <a:lnTo>
                      <a:pt x="35" y="634"/>
                    </a:lnTo>
                    <a:lnTo>
                      <a:pt x="44" y="634"/>
                    </a:lnTo>
                    <a:lnTo>
                      <a:pt x="44" y="634"/>
                    </a:lnTo>
                    <a:lnTo>
                      <a:pt x="44" y="634"/>
                    </a:lnTo>
                    <a:lnTo>
                      <a:pt x="53" y="634"/>
                    </a:lnTo>
                    <a:lnTo>
                      <a:pt x="53" y="634"/>
                    </a:lnTo>
                    <a:lnTo>
                      <a:pt x="53" y="634"/>
                    </a:lnTo>
                    <a:lnTo>
                      <a:pt x="53" y="625"/>
                    </a:lnTo>
                    <a:lnTo>
                      <a:pt x="53" y="625"/>
                    </a:lnTo>
                    <a:lnTo>
                      <a:pt x="53" y="625"/>
                    </a:lnTo>
                    <a:lnTo>
                      <a:pt x="53" y="625"/>
                    </a:lnTo>
                    <a:lnTo>
                      <a:pt x="53" y="625"/>
                    </a:lnTo>
                    <a:lnTo>
                      <a:pt x="53" y="616"/>
                    </a:lnTo>
                    <a:lnTo>
                      <a:pt x="53" y="616"/>
                    </a:lnTo>
                    <a:lnTo>
                      <a:pt x="53" y="616"/>
                    </a:lnTo>
                    <a:lnTo>
                      <a:pt x="53" y="616"/>
                    </a:lnTo>
                    <a:lnTo>
                      <a:pt x="53" y="616"/>
                    </a:lnTo>
                    <a:lnTo>
                      <a:pt x="53" y="616"/>
                    </a:lnTo>
                    <a:lnTo>
                      <a:pt x="53" y="616"/>
                    </a:lnTo>
                    <a:lnTo>
                      <a:pt x="53" y="607"/>
                    </a:lnTo>
                    <a:lnTo>
                      <a:pt x="53" y="607"/>
                    </a:lnTo>
                    <a:lnTo>
                      <a:pt x="53" y="607"/>
                    </a:lnTo>
                    <a:lnTo>
                      <a:pt x="53" y="607"/>
                    </a:lnTo>
                    <a:lnTo>
                      <a:pt x="53" y="607"/>
                    </a:lnTo>
                    <a:lnTo>
                      <a:pt x="62" y="607"/>
                    </a:lnTo>
                    <a:lnTo>
                      <a:pt x="62" y="607"/>
                    </a:lnTo>
                    <a:lnTo>
                      <a:pt x="62" y="607"/>
                    </a:lnTo>
                    <a:lnTo>
                      <a:pt x="62" y="607"/>
                    </a:lnTo>
                    <a:lnTo>
                      <a:pt x="62" y="607"/>
                    </a:lnTo>
                    <a:lnTo>
                      <a:pt x="62" y="607"/>
                    </a:lnTo>
                    <a:lnTo>
                      <a:pt x="71" y="607"/>
                    </a:lnTo>
                    <a:lnTo>
                      <a:pt x="71" y="607"/>
                    </a:lnTo>
                    <a:lnTo>
                      <a:pt x="71" y="607"/>
                    </a:lnTo>
                    <a:lnTo>
                      <a:pt x="71" y="607"/>
                    </a:lnTo>
                    <a:lnTo>
                      <a:pt x="71" y="598"/>
                    </a:lnTo>
                    <a:lnTo>
                      <a:pt x="71" y="598"/>
                    </a:lnTo>
                    <a:lnTo>
                      <a:pt x="80" y="598"/>
                    </a:lnTo>
                    <a:lnTo>
                      <a:pt x="80" y="598"/>
                    </a:lnTo>
                    <a:lnTo>
                      <a:pt x="80" y="598"/>
                    </a:lnTo>
                    <a:lnTo>
                      <a:pt x="80" y="598"/>
                    </a:lnTo>
                    <a:lnTo>
                      <a:pt x="80" y="598"/>
                    </a:lnTo>
                    <a:lnTo>
                      <a:pt x="80" y="598"/>
                    </a:lnTo>
                    <a:lnTo>
                      <a:pt x="80" y="598"/>
                    </a:lnTo>
                    <a:lnTo>
                      <a:pt x="89" y="598"/>
                    </a:lnTo>
                    <a:lnTo>
                      <a:pt x="89" y="598"/>
                    </a:lnTo>
                    <a:lnTo>
                      <a:pt x="89" y="598"/>
                    </a:lnTo>
                    <a:lnTo>
                      <a:pt x="89" y="598"/>
                    </a:lnTo>
                    <a:lnTo>
                      <a:pt x="98" y="598"/>
                    </a:lnTo>
                    <a:lnTo>
                      <a:pt x="98" y="598"/>
                    </a:lnTo>
                    <a:lnTo>
                      <a:pt x="98" y="598"/>
                    </a:lnTo>
                    <a:lnTo>
                      <a:pt x="98" y="598"/>
                    </a:lnTo>
                    <a:lnTo>
                      <a:pt x="107" y="598"/>
                    </a:lnTo>
                    <a:lnTo>
                      <a:pt x="107" y="598"/>
                    </a:lnTo>
                    <a:lnTo>
                      <a:pt x="107" y="598"/>
                    </a:lnTo>
                    <a:lnTo>
                      <a:pt x="116" y="598"/>
                    </a:lnTo>
                    <a:lnTo>
                      <a:pt x="116" y="598"/>
                    </a:lnTo>
                    <a:lnTo>
                      <a:pt x="116" y="598"/>
                    </a:lnTo>
                    <a:lnTo>
                      <a:pt x="125" y="598"/>
                    </a:lnTo>
                    <a:lnTo>
                      <a:pt x="125" y="598"/>
                    </a:lnTo>
                    <a:lnTo>
                      <a:pt x="125" y="598"/>
                    </a:lnTo>
                    <a:lnTo>
                      <a:pt x="134" y="598"/>
                    </a:lnTo>
                    <a:lnTo>
                      <a:pt x="134" y="589"/>
                    </a:lnTo>
                    <a:lnTo>
                      <a:pt x="134" y="589"/>
                    </a:lnTo>
                    <a:lnTo>
                      <a:pt x="134" y="589"/>
                    </a:lnTo>
                    <a:lnTo>
                      <a:pt x="142" y="589"/>
                    </a:lnTo>
                    <a:lnTo>
                      <a:pt x="142" y="589"/>
                    </a:lnTo>
                    <a:lnTo>
                      <a:pt x="142" y="589"/>
                    </a:lnTo>
                    <a:lnTo>
                      <a:pt x="142" y="589"/>
                    </a:lnTo>
                    <a:lnTo>
                      <a:pt x="151" y="580"/>
                    </a:lnTo>
                    <a:lnTo>
                      <a:pt x="151" y="580"/>
                    </a:lnTo>
                    <a:lnTo>
                      <a:pt x="151" y="580"/>
                    </a:lnTo>
                    <a:lnTo>
                      <a:pt x="151" y="580"/>
                    </a:lnTo>
                    <a:lnTo>
                      <a:pt x="151" y="580"/>
                    </a:lnTo>
                    <a:lnTo>
                      <a:pt x="151" y="580"/>
                    </a:lnTo>
                    <a:lnTo>
                      <a:pt x="160" y="571"/>
                    </a:lnTo>
                    <a:lnTo>
                      <a:pt x="160" y="571"/>
                    </a:lnTo>
                    <a:lnTo>
                      <a:pt x="160" y="571"/>
                    </a:lnTo>
                    <a:lnTo>
                      <a:pt x="160" y="571"/>
                    </a:lnTo>
                    <a:lnTo>
                      <a:pt x="160" y="562"/>
                    </a:lnTo>
                    <a:lnTo>
                      <a:pt x="160" y="562"/>
                    </a:lnTo>
                    <a:lnTo>
                      <a:pt x="160" y="553"/>
                    </a:lnTo>
                    <a:lnTo>
                      <a:pt x="160" y="553"/>
                    </a:lnTo>
                    <a:lnTo>
                      <a:pt x="160" y="553"/>
                    </a:lnTo>
                    <a:lnTo>
                      <a:pt x="160" y="544"/>
                    </a:lnTo>
                    <a:lnTo>
                      <a:pt x="160" y="544"/>
                    </a:lnTo>
                    <a:lnTo>
                      <a:pt x="160" y="544"/>
                    </a:lnTo>
                    <a:lnTo>
                      <a:pt x="160" y="544"/>
                    </a:lnTo>
                    <a:lnTo>
                      <a:pt x="160" y="535"/>
                    </a:lnTo>
                    <a:lnTo>
                      <a:pt x="160" y="535"/>
                    </a:lnTo>
                    <a:lnTo>
                      <a:pt x="160" y="535"/>
                    </a:lnTo>
                    <a:lnTo>
                      <a:pt x="169" y="535"/>
                    </a:lnTo>
                    <a:lnTo>
                      <a:pt x="169" y="526"/>
                    </a:lnTo>
                    <a:lnTo>
                      <a:pt x="169" y="526"/>
                    </a:lnTo>
                    <a:lnTo>
                      <a:pt x="169" y="526"/>
                    </a:lnTo>
                    <a:lnTo>
                      <a:pt x="169" y="526"/>
                    </a:lnTo>
                    <a:lnTo>
                      <a:pt x="169" y="526"/>
                    </a:lnTo>
                    <a:lnTo>
                      <a:pt x="169" y="526"/>
                    </a:lnTo>
                    <a:lnTo>
                      <a:pt x="178" y="526"/>
                    </a:lnTo>
                    <a:lnTo>
                      <a:pt x="178" y="526"/>
                    </a:lnTo>
                    <a:lnTo>
                      <a:pt x="178" y="517"/>
                    </a:lnTo>
                    <a:lnTo>
                      <a:pt x="178" y="517"/>
                    </a:lnTo>
                    <a:lnTo>
                      <a:pt x="187" y="517"/>
                    </a:lnTo>
                    <a:lnTo>
                      <a:pt x="187" y="517"/>
                    </a:lnTo>
                    <a:lnTo>
                      <a:pt x="187" y="517"/>
                    </a:lnTo>
                    <a:lnTo>
                      <a:pt x="196" y="517"/>
                    </a:lnTo>
                    <a:lnTo>
                      <a:pt x="196" y="517"/>
                    </a:lnTo>
                    <a:lnTo>
                      <a:pt x="196" y="517"/>
                    </a:lnTo>
                    <a:lnTo>
                      <a:pt x="205" y="517"/>
                    </a:lnTo>
                    <a:lnTo>
                      <a:pt x="205" y="517"/>
                    </a:lnTo>
                    <a:lnTo>
                      <a:pt x="205" y="517"/>
                    </a:lnTo>
                    <a:lnTo>
                      <a:pt x="205" y="517"/>
                    </a:lnTo>
                    <a:lnTo>
                      <a:pt x="205" y="517"/>
                    </a:lnTo>
                    <a:lnTo>
                      <a:pt x="214" y="517"/>
                    </a:lnTo>
                    <a:lnTo>
                      <a:pt x="214" y="517"/>
                    </a:lnTo>
                    <a:lnTo>
                      <a:pt x="214" y="517"/>
                    </a:lnTo>
                    <a:lnTo>
                      <a:pt x="214" y="517"/>
                    </a:lnTo>
                    <a:lnTo>
                      <a:pt x="223" y="517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32" y="526"/>
                    </a:lnTo>
                    <a:lnTo>
                      <a:pt x="232" y="526"/>
                    </a:lnTo>
                    <a:lnTo>
                      <a:pt x="232" y="526"/>
                    </a:lnTo>
                    <a:lnTo>
                      <a:pt x="232" y="535"/>
                    </a:lnTo>
                    <a:lnTo>
                      <a:pt x="232" y="535"/>
                    </a:lnTo>
                    <a:lnTo>
                      <a:pt x="232" y="535"/>
                    </a:lnTo>
                    <a:lnTo>
                      <a:pt x="232" y="535"/>
                    </a:lnTo>
                    <a:lnTo>
                      <a:pt x="232" y="535"/>
                    </a:lnTo>
                    <a:lnTo>
                      <a:pt x="232" y="535"/>
                    </a:lnTo>
                    <a:lnTo>
                      <a:pt x="232" y="535"/>
                    </a:lnTo>
                    <a:lnTo>
                      <a:pt x="232" y="544"/>
                    </a:lnTo>
                    <a:lnTo>
                      <a:pt x="241" y="544"/>
                    </a:lnTo>
                    <a:lnTo>
                      <a:pt x="241" y="544"/>
                    </a:lnTo>
                    <a:lnTo>
                      <a:pt x="241" y="544"/>
                    </a:lnTo>
                    <a:lnTo>
                      <a:pt x="241" y="544"/>
                    </a:lnTo>
                    <a:lnTo>
                      <a:pt x="241" y="544"/>
                    </a:lnTo>
                    <a:lnTo>
                      <a:pt x="241" y="544"/>
                    </a:lnTo>
                    <a:lnTo>
                      <a:pt x="241" y="553"/>
                    </a:lnTo>
                    <a:lnTo>
                      <a:pt x="241" y="553"/>
                    </a:lnTo>
                    <a:lnTo>
                      <a:pt x="250" y="553"/>
                    </a:lnTo>
                    <a:lnTo>
                      <a:pt x="250" y="553"/>
                    </a:lnTo>
                    <a:lnTo>
                      <a:pt x="250" y="553"/>
                    </a:lnTo>
                    <a:lnTo>
                      <a:pt x="250" y="553"/>
                    </a:lnTo>
                    <a:lnTo>
                      <a:pt x="259" y="562"/>
                    </a:lnTo>
                    <a:lnTo>
                      <a:pt x="259" y="562"/>
                    </a:lnTo>
                    <a:lnTo>
                      <a:pt x="259" y="562"/>
                    </a:lnTo>
                    <a:lnTo>
                      <a:pt x="259" y="562"/>
                    </a:lnTo>
                    <a:lnTo>
                      <a:pt x="267" y="562"/>
                    </a:lnTo>
                    <a:lnTo>
                      <a:pt x="267" y="562"/>
                    </a:lnTo>
                    <a:lnTo>
                      <a:pt x="267" y="562"/>
                    </a:lnTo>
                    <a:lnTo>
                      <a:pt x="267" y="562"/>
                    </a:lnTo>
                    <a:lnTo>
                      <a:pt x="276" y="562"/>
                    </a:lnTo>
                    <a:lnTo>
                      <a:pt x="276" y="562"/>
                    </a:lnTo>
                    <a:lnTo>
                      <a:pt x="276" y="562"/>
                    </a:lnTo>
                    <a:lnTo>
                      <a:pt x="276" y="562"/>
                    </a:lnTo>
                    <a:lnTo>
                      <a:pt x="276" y="562"/>
                    </a:lnTo>
                    <a:lnTo>
                      <a:pt x="276" y="562"/>
                    </a:lnTo>
                    <a:lnTo>
                      <a:pt x="285" y="562"/>
                    </a:lnTo>
                    <a:lnTo>
                      <a:pt x="285" y="562"/>
                    </a:lnTo>
                    <a:lnTo>
                      <a:pt x="285" y="562"/>
                    </a:lnTo>
                    <a:lnTo>
                      <a:pt x="285" y="562"/>
                    </a:lnTo>
                    <a:lnTo>
                      <a:pt x="285" y="562"/>
                    </a:lnTo>
                    <a:lnTo>
                      <a:pt x="285" y="562"/>
                    </a:lnTo>
                    <a:lnTo>
                      <a:pt x="285" y="562"/>
                    </a:lnTo>
                    <a:lnTo>
                      <a:pt x="285" y="562"/>
                    </a:lnTo>
                    <a:lnTo>
                      <a:pt x="285" y="562"/>
                    </a:lnTo>
                    <a:lnTo>
                      <a:pt x="285" y="562"/>
                    </a:lnTo>
                    <a:lnTo>
                      <a:pt x="285" y="562"/>
                    </a:lnTo>
                    <a:lnTo>
                      <a:pt x="285" y="571"/>
                    </a:lnTo>
                    <a:lnTo>
                      <a:pt x="285" y="571"/>
                    </a:lnTo>
                    <a:lnTo>
                      <a:pt x="285" y="571"/>
                    </a:lnTo>
                    <a:lnTo>
                      <a:pt x="285" y="571"/>
                    </a:lnTo>
                    <a:lnTo>
                      <a:pt x="285" y="571"/>
                    </a:lnTo>
                    <a:lnTo>
                      <a:pt x="285" y="571"/>
                    </a:lnTo>
                    <a:lnTo>
                      <a:pt x="285" y="571"/>
                    </a:lnTo>
                    <a:lnTo>
                      <a:pt x="294" y="571"/>
                    </a:lnTo>
                    <a:lnTo>
                      <a:pt x="294" y="580"/>
                    </a:lnTo>
                    <a:lnTo>
                      <a:pt x="294" y="580"/>
                    </a:lnTo>
                    <a:lnTo>
                      <a:pt x="294" y="580"/>
                    </a:lnTo>
                    <a:lnTo>
                      <a:pt x="294" y="580"/>
                    </a:lnTo>
                    <a:lnTo>
                      <a:pt x="294" y="580"/>
                    </a:lnTo>
                    <a:lnTo>
                      <a:pt x="294" y="580"/>
                    </a:lnTo>
                    <a:lnTo>
                      <a:pt x="294" y="580"/>
                    </a:lnTo>
                    <a:lnTo>
                      <a:pt x="294" y="580"/>
                    </a:lnTo>
                    <a:lnTo>
                      <a:pt x="294" y="580"/>
                    </a:lnTo>
                    <a:lnTo>
                      <a:pt x="294" y="580"/>
                    </a:lnTo>
                    <a:lnTo>
                      <a:pt x="294" y="580"/>
                    </a:lnTo>
                    <a:lnTo>
                      <a:pt x="303" y="580"/>
                    </a:lnTo>
                    <a:lnTo>
                      <a:pt x="303" y="580"/>
                    </a:lnTo>
                    <a:lnTo>
                      <a:pt x="303" y="580"/>
                    </a:lnTo>
                    <a:lnTo>
                      <a:pt x="303" y="580"/>
                    </a:lnTo>
                    <a:lnTo>
                      <a:pt x="312" y="589"/>
                    </a:lnTo>
                    <a:lnTo>
                      <a:pt x="312" y="589"/>
                    </a:lnTo>
                    <a:lnTo>
                      <a:pt x="312" y="589"/>
                    </a:lnTo>
                    <a:lnTo>
                      <a:pt x="321" y="589"/>
                    </a:lnTo>
                    <a:lnTo>
                      <a:pt x="321" y="589"/>
                    </a:lnTo>
                    <a:lnTo>
                      <a:pt x="321" y="589"/>
                    </a:lnTo>
                    <a:lnTo>
                      <a:pt x="321" y="589"/>
                    </a:lnTo>
                    <a:lnTo>
                      <a:pt x="321" y="580"/>
                    </a:lnTo>
                    <a:lnTo>
                      <a:pt x="330" y="580"/>
                    </a:lnTo>
                    <a:lnTo>
                      <a:pt x="330" y="580"/>
                    </a:lnTo>
                    <a:lnTo>
                      <a:pt x="330" y="580"/>
                    </a:lnTo>
                    <a:lnTo>
                      <a:pt x="330" y="580"/>
                    </a:lnTo>
                    <a:lnTo>
                      <a:pt x="330" y="580"/>
                    </a:lnTo>
                    <a:lnTo>
                      <a:pt x="339" y="580"/>
                    </a:lnTo>
                    <a:lnTo>
                      <a:pt x="339" y="580"/>
                    </a:lnTo>
                    <a:lnTo>
                      <a:pt x="339" y="571"/>
                    </a:lnTo>
                    <a:lnTo>
                      <a:pt x="339" y="571"/>
                    </a:lnTo>
                    <a:lnTo>
                      <a:pt x="339" y="571"/>
                    </a:lnTo>
                    <a:lnTo>
                      <a:pt x="339" y="571"/>
                    </a:lnTo>
                    <a:lnTo>
                      <a:pt x="339" y="562"/>
                    </a:lnTo>
                    <a:lnTo>
                      <a:pt x="339" y="562"/>
                    </a:lnTo>
                    <a:lnTo>
                      <a:pt x="348" y="562"/>
                    </a:lnTo>
                    <a:lnTo>
                      <a:pt x="348" y="562"/>
                    </a:lnTo>
                    <a:lnTo>
                      <a:pt x="348" y="553"/>
                    </a:lnTo>
                    <a:lnTo>
                      <a:pt x="348" y="553"/>
                    </a:lnTo>
                    <a:lnTo>
                      <a:pt x="348" y="553"/>
                    </a:lnTo>
                    <a:lnTo>
                      <a:pt x="348" y="553"/>
                    </a:lnTo>
                    <a:lnTo>
                      <a:pt x="348" y="544"/>
                    </a:lnTo>
                    <a:lnTo>
                      <a:pt x="357" y="544"/>
                    </a:lnTo>
                    <a:lnTo>
                      <a:pt x="357" y="544"/>
                    </a:lnTo>
                    <a:lnTo>
                      <a:pt x="357" y="544"/>
                    </a:lnTo>
                    <a:lnTo>
                      <a:pt x="357" y="544"/>
                    </a:lnTo>
                    <a:lnTo>
                      <a:pt x="357" y="544"/>
                    </a:lnTo>
                    <a:lnTo>
                      <a:pt x="366" y="544"/>
                    </a:lnTo>
                    <a:lnTo>
                      <a:pt x="366" y="544"/>
                    </a:lnTo>
                    <a:lnTo>
                      <a:pt x="366" y="535"/>
                    </a:lnTo>
                    <a:lnTo>
                      <a:pt x="366" y="535"/>
                    </a:lnTo>
                    <a:lnTo>
                      <a:pt x="366" y="535"/>
                    </a:lnTo>
                    <a:lnTo>
                      <a:pt x="375" y="535"/>
                    </a:lnTo>
                    <a:lnTo>
                      <a:pt x="375" y="535"/>
                    </a:lnTo>
                    <a:lnTo>
                      <a:pt x="375" y="535"/>
                    </a:lnTo>
                    <a:lnTo>
                      <a:pt x="375" y="535"/>
                    </a:lnTo>
                    <a:lnTo>
                      <a:pt x="375" y="535"/>
                    </a:lnTo>
                    <a:lnTo>
                      <a:pt x="384" y="535"/>
                    </a:lnTo>
                    <a:lnTo>
                      <a:pt x="384" y="535"/>
                    </a:lnTo>
                    <a:lnTo>
                      <a:pt x="384" y="535"/>
                    </a:lnTo>
                    <a:lnTo>
                      <a:pt x="384" y="535"/>
                    </a:lnTo>
                    <a:lnTo>
                      <a:pt x="393" y="535"/>
                    </a:lnTo>
                    <a:lnTo>
                      <a:pt x="393" y="535"/>
                    </a:lnTo>
                    <a:lnTo>
                      <a:pt x="393" y="535"/>
                    </a:lnTo>
                    <a:lnTo>
                      <a:pt x="393" y="535"/>
                    </a:lnTo>
                    <a:lnTo>
                      <a:pt x="401" y="535"/>
                    </a:lnTo>
                    <a:lnTo>
                      <a:pt x="401" y="535"/>
                    </a:lnTo>
                    <a:lnTo>
                      <a:pt x="401" y="535"/>
                    </a:lnTo>
                    <a:lnTo>
                      <a:pt x="401" y="535"/>
                    </a:lnTo>
                    <a:lnTo>
                      <a:pt x="401" y="535"/>
                    </a:lnTo>
                    <a:lnTo>
                      <a:pt x="401" y="535"/>
                    </a:lnTo>
                    <a:lnTo>
                      <a:pt x="401" y="535"/>
                    </a:lnTo>
                    <a:lnTo>
                      <a:pt x="401" y="535"/>
                    </a:lnTo>
                    <a:lnTo>
                      <a:pt x="401" y="535"/>
                    </a:lnTo>
                    <a:lnTo>
                      <a:pt x="401" y="526"/>
                    </a:lnTo>
                    <a:lnTo>
                      <a:pt x="410" y="526"/>
                    </a:lnTo>
                    <a:lnTo>
                      <a:pt x="410" y="526"/>
                    </a:lnTo>
                    <a:lnTo>
                      <a:pt x="410" y="526"/>
                    </a:lnTo>
                    <a:lnTo>
                      <a:pt x="410" y="517"/>
                    </a:lnTo>
                    <a:lnTo>
                      <a:pt x="410" y="517"/>
                    </a:lnTo>
                    <a:lnTo>
                      <a:pt x="410" y="517"/>
                    </a:lnTo>
                    <a:lnTo>
                      <a:pt x="410" y="517"/>
                    </a:lnTo>
                    <a:lnTo>
                      <a:pt x="410" y="517"/>
                    </a:lnTo>
                    <a:lnTo>
                      <a:pt x="410" y="509"/>
                    </a:lnTo>
                    <a:lnTo>
                      <a:pt x="410" y="509"/>
                    </a:lnTo>
                    <a:lnTo>
                      <a:pt x="410" y="509"/>
                    </a:lnTo>
                    <a:lnTo>
                      <a:pt x="410" y="509"/>
                    </a:lnTo>
                    <a:lnTo>
                      <a:pt x="410" y="500"/>
                    </a:lnTo>
                    <a:lnTo>
                      <a:pt x="410" y="500"/>
                    </a:lnTo>
                    <a:lnTo>
                      <a:pt x="410" y="500"/>
                    </a:lnTo>
                    <a:lnTo>
                      <a:pt x="401" y="500"/>
                    </a:lnTo>
                    <a:lnTo>
                      <a:pt x="401" y="491"/>
                    </a:lnTo>
                    <a:lnTo>
                      <a:pt x="401" y="491"/>
                    </a:lnTo>
                    <a:lnTo>
                      <a:pt x="401" y="491"/>
                    </a:lnTo>
                    <a:lnTo>
                      <a:pt x="401" y="491"/>
                    </a:lnTo>
                    <a:lnTo>
                      <a:pt x="401" y="482"/>
                    </a:lnTo>
                    <a:lnTo>
                      <a:pt x="401" y="482"/>
                    </a:lnTo>
                    <a:lnTo>
                      <a:pt x="401" y="482"/>
                    </a:lnTo>
                    <a:lnTo>
                      <a:pt x="401" y="482"/>
                    </a:lnTo>
                    <a:lnTo>
                      <a:pt x="401" y="482"/>
                    </a:lnTo>
                    <a:lnTo>
                      <a:pt x="401" y="473"/>
                    </a:lnTo>
                    <a:lnTo>
                      <a:pt x="401" y="473"/>
                    </a:lnTo>
                    <a:lnTo>
                      <a:pt x="410" y="473"/>
                    </a:lnTo>
                    <a:lnTo>
                      <a:pt x="410" y="473"/>
                    </a:lnTo>
                    <a:lnTo>
                      <a:pt x="410" y="473"/>
                    </a:lnTo>
                    <a:lnTo>
                      <a:pt x="410" y="473"/>
                    </a:lnTo>
                    <a:lnTo>
                      <a:pt x="410" y="473"/>
                    </a:lnTo>
                    <a:lnTo>
                      <a:pt x="410" y="473"/>
                    </a:lnTo>
                    <a:lnTo>
                      <a:pt x="410" y="464"/>
                    </a:lnTo>
                    <a:lnTo>
                      <a:pt x="410" y="464"/>
                    </a:lnTo>
                    <a:lnTo>
                      <a:pt x="410" y="464"/>
                    </a:lnTo>
                    <a:lnTo>
                      <a:pt x="410" y="464"/>
                    </a:lnTo>
                    <a:lnTo>
                      <a:pt x="419" y="464"/>
                    </a:lnTo>
                    <a:lnTo>
                      <a:pt x="419" y="464"/>
                    </a:lnTo>
                    <a:lnTo>
                      <a:pt x="419" y="464"/>
                    </a:lnTo>
                    <a:lnTo>
                      <a:pt x="419" y="464"/>
                    </a:lnTo>
                    <a:lnTo>
                      <a:pt x="428" y="464"/>
                    </a:lnTo>
                    <a:lnTo>
                      <a:pt x="428" y="464"/>
                    </a:lnTo>
                    <a:lnTo>
                      <a:pt x="428" y="464"/>
                    </a:lnTo>
                    <a:lnTo>
                      <a:pt x="428" y="464"/>
                    </a:lnTo>
                    <a:lnTo>
                      <a:pt x="437" y="464"/>
                    </a:lnTo>
                    <a:lnTo>
                      <a:pt x="437" y="464"/>
                    </a:lnTo>
                    <a:lnTo>
                      <a:pt x="437" y="464"/>
                    </a:lnTo>
                    <a:lnTo>
                      <a:pt x="446" y="464"/>
                    </a:lnTo>
                    <a:lnTo>
                      <a:pt x="446" y="464"/>
                    </a:lnTo>
                    <a:lnTo>
                      <a:pt x="446" y="464"/>
                    </a:lnTo>
                    <a:lnTo>
                      <a:pt x="455" y="464"/>
                    </a:lnTo>
                    <a:lnTo>
                      <a:pt x="455" y="473"/>
                    </a:lnTo>
                    <a:lnTo>
                      <a:pt x="455" y="473"/>
                    </a:lnTo>
                    <a:lnTo>
                      <a:pt x="464" y="473"/>
                    </a:lnTo>
                    <a:lnTo>
                      <a:pt x="464" y="473"/>
                    </a:lnTo>
                    <a:lnTo>
                      <a:pt x="464" y="473"/>
                    </a:lnTo>
                    <a:lnTo>
                      <a:pt x="464" y="473"/>
                    </a:lnTo>
                    <a:lnTo>
                      <a:pt x="464" y="473"/>
                    </a:lnTo>
                    <a:lnTo>
                      <a:pt x="464" y="473"/>
                    </a:lnTo>
                    <a:lnTo>
                      <a:pt x="464" y="473"/>
                    </a:lnTo>
                    <a:lnTo>
                      <a:pt x="473" y="482"/>
                    </a:lnTo>
                    <a:lnTo>
                      <a:pt x="473" y="482"/>
                    </a:lnTo>
                    <a:lnTo>
                      <a:pt x="473" y="482"/>
                    </a:lnTo>
                    <a:lnTo>
                      <a:pt x="473" y="482"/>
                    </a:lnTo>
                    <a:lnTo>
                      <a:pt x="473" y="482"/>
                    </a:lnTo>
                    <a:lnTo>
                      <a:pt x="473" y="491"/>
                    </a:lnTo>
                    <a:lnTo>
                      <a:pt x="473" y="491"/>
                    </a:lnTo>
                    <a:lnTo>
                      <a:pt x="473" y="491"/>
                    </a:lnTo>
                    <a:lnTo>
                      <a:pt x="473" y="491"/>
                    </a:lnTo>
                    <a:lnTo>
                      <a:pt x="482" y="500"/>
                    </a:lnTo>
                    <a:lnTo>
                      <a:pt x="482" y="500"/>
                    </a:lnTo>
                    <a:lnTo>
                      <a:pt x="482" y="500"/>
                    </a:lnTo>
                    <a:lnTo>
                      <a:pt x="482" y="500"/>
                    </a:lnTo>
                    <a:lnTo>
                      <a:pt x="482" y="500"/>
                    </a:lnTo>
                    <a:lnTo>
                      <a:pt x="482" y="500"/>
                    </a:lnTo>
                    <a:lnTo>
                      <a:pt x="491" y="500"/>
                    </a:lnTo>
                    <a:lnTo>
                      <a:pt x="491" y="509"/>
                    </a:lnTo>
                    <a:lnTo>
                      <a:pt x="491" y="509"/>
                    </a:lnTo>
                    <a:lnTo>
                      <a:pt x="491" y="509"/>
                    </a:lnTo>
                    <a:lnTo>
                      <a:pt x="491" y="509"/>
                    </a:lnTo>
                    <a:lnTo>
                      <a:pt x="491" y="509"/>
                    </a:lnTo>
                    <a:lnTo>
                      <a:pt x="500" y="509"/>
                    </a:lnTo>
                    <a:lnTo>
                      <a:pt x="500" y="509"/>
                    </a:lnTo>
                    <a:lnTo>
                      <a:pt x="500" y="509"/>
                    </a:lnTo>
                    <a:lnTo>
                      <a:pt x="500" y="509"/>
                    </a:lnTo>
                    <a:lnTo>
                      <a:pt x="500" y="509"/>
                    </a:lnTo>
                    <a:lnTo>
                      <a:pt x="500" y="509"/>
                    </a:lnTo>
                    <a:lnTo>
                      <a:pt x="509" y="509"/>
                    </a:lnTo>
                    <a:lnTo>
                      <a:pt x="509" y="509"/>
                    </a:lnTo>
                    <a:lnTo>
                      <a:pt x="509" y="500"/>
                    </a:lnTo>
                    <a:lnTo>
                      <a:pt x="509" y="500"/>
                    </a:lnTo>
                    <a:lnTo>
                      <a:pt x="509" y="500"/>
                    </a:lnTo>
                    <a:lnTo>
                      <a:pt x="509" y="500"/>
                    </a:lnTo>
                    <a:lnTo>
                      <a:pt x="509" y="500"/>
                    </a:lnTo>
                    <a:lnTo>
                      <a:pt x="509" y="500"/>
                    </a:lnTo>
                    <a:lnTo>
                      <a:pt x="509" y="500"/>
                    </a:lnTo>
                    <a:lnTo>
                      <a:pt x="509" y="500"/>
                    </a:lnTo>
                    <a:lnTo>
                      <a:pt x="509" y="491"/>
                    </a:lnTo>
                    <a:lnTo>
                      <a:pt x="509" y="491"/>
                    </a:lnTo>
                    <a:lnTo>
                      <a:pt x="509" y="491"/>
                    </a:lnTo>
                    <a:lnTo>
                      <a:pt x="509" y="491"/>
                    </a:lnTo>
                    <a:lnTo>
                      <a:pt x="509" y="491"/>
                    </a:lnTo>
                    <a:lnTo>
                      <a:pt x="509" y="491"/>
                    </a:lnTo>
                    <a:lnTo>
                      <a:pt x="509" y="491"/>
                    </a:lnTo>
                    <a:lnTo>
                      <a:pt x="509" y="482"/>
                    </a:lnTo>
                    <a:lnTo>
                      <a:pt x="509" y="482"/>
                    </a:lnTo>
                    <a:lnTo>
                      <a:pt x="509" y="482"/>
                    </a:lnTo>
                    <a:lnTo>
                      <a:pt x="509" y="482"/>
                    </a:lnTo>
                    <a:lnTo>
                      <a:pt x="509" y="473"/>
                    </a:lnTo>
                    <a:lnTo>
                      <a:pt x="509" y="473"/>
                    </a:lnTo>
                    <a:lnTo>
                      <a:pt x="509" y="473"/>
                    </a:lnTo>
                    <a:lnTo>
                      <a:pt x="509" y="473"/>
                    </a:lnTo>
                    <a:lnTo>
                      <a:pt x="518" y="473"/>
                    </a:lnTo>
                    <a:lnTo>
                      <a:pt x="518" y="473"/>
                    </a:lnTo>
                    <a:lnTo>
                      <a:pt x="518" y="473"/>
                    </a:lnTo>
                    <a:lnTo>
                      <a:pt x="518" y="473"/>
                    </a:lnTo>
                    <a:lnTo>
                      <a:pt x="518" y="473"/>
                    </a:lnTo>
                    <a:lnTo>
                      <a:pt x="518" y="473"/>
                    </a:lnTo>
                    <a:lnTo>
                      <a:pt x="518" y="473"/>
                    </a:lnTo>
                    <a:lnTo>
                      <a:pt x="527" y="473"/>
                    </a:lnTo>
                    <a:lnTo>
                      <a:pt x="527" y="473"/>
                    </a:lnTo>
                    <a:lnTo>
                      <a:pt x="527" y="482"/>
                    </a:lnTo>
                    <a:lnTo>
                      <a:pt x="527" y="482"/>
                    </a:lnTo>
                    <a:lnTo>
                      <a:pt x="527" y="482"/>
                    </a:lnTo>
                    <a:lnTo>
                      <a:pt x="527" y="482"/>
                    </a:lnTo>
                    <a:lnTo>
                      <a:pt x="535" y="482"/>
                    </a:lnTo>
                    <a:lnTo>
                      <a:pt x="535" y="482"/>
                    </a:lnTo>
                    <a:lnTo>
                      <a:pt x="535" y="482"/>
                    </a:lnTo>
                    <a:lnTo>
                      <a:pt x="535" y="491"/>
                    </a:lnTo>
                    <a:lnTo>
                      <a:pt x="535" y="491"/>
                    </a:lnTo>
                    <a:lnTo>
                      <a:pt x="535" y="491"/>
                    </a:lnTo>
                    <a:lnTo>
                      <a:pt x="535" y="491"/>
                    </a:lnTo>
                    <a:lnTo>
                      <a:pt x="535" y="491"/>
                    </a:lnTo>
                    <a:lnTo>
                      <a:pt x="535" y="500"/>
                    </a:lnTo>
                    <a:lnTo>
                      <a:pt x="535" y="500"/>
                    </a:lnTo>
                    <a:lnTo>
                      <a:pt x="535" y="500"/>
                    </a:lnTo>
                    <a:lnTo>
                      <a:pt x="535" y="509"/>
                    </a:lnTo>
                    <a:lnTo>
                      <a:pt x="535" y="509"/>
                    </a:lnTo>
                    <a:lnTo>
                      <a:pt x="535" y="509"/>
                    </a:lnTo>
                    <a:lnTo>
                      <a:pt x="535" y="517"/>
                    </a:lnTo>
                    <a:lnTo>
                      <a:pt x="535" y="517"/>
                    </a:lnTo>
                    <a:lnTo>
                      <a:pt x="535" y="517"/>
                    </a:lnTo>
                    <a:lnTo>
                      <a:pt x="535" y="526"/>
                    </a:lnTo>
                    <a:lnTo>
                      <a:pt x="535" y="526"/>
                    </a:lnTo>
                    <a:lnTo>
                      <a:pt x="535" y="526"/>
                    </a:lnTo>
                    <a:lnTo>
                      <a:pt x="535" y="526"/>
                    </a:lnTo>
                    <a:lnTo>
                      <a:pt x="535" y="535"/>
                    </a:lnTo>
                    <a:lnTo>
                      <a:pt x="535" y="535"/>
                    </a:lnTo>
                    <a:lnTo>
                      <a:pt x="535" y="535"/>
                    </a:lnTo>
                    <a:lnTo>
                      <a:pt x="535" y="544"/>
                    </a:lnTo>
                    <a:lnTo>
                      <a:pt x="535" y="544"/>
                    </a:lnTo>
                    <a:lnTo>
                      <a:pt x="544" y="544"/>
                    </a:lnTo>
                    <a:lnTo>
                      <a:pt x="544" y="544"/>
                    </a:lnTo>
                    <a:lnTo>
                      <a:pt x="544" y="544"/>
                    </a:lnTo>
                    <a:lnTo>
                      <a:pt x="544" y="553"/>
                    </a:lnTo>
                    <a:lnTo>
                      <a:pt x="544" y="553"/>
                    </a:lnTo>
                    <a:lnTo>
                      <a:pt x="544" y="553"/>
                    </a:lnTo>
                    <a:lnTo>
                      <a:pt x="553" y="553"/>
                    </a:lnTo>
                    <a:lnTo>
                      <a:pt x="553" y="553"/>
                    </a:lnTo>
                    <a:lnTo>
                      <a:pt x="553" y="553"/>
                    </a:lnTo>
                    <a:lnTo>
                      <a:pt x="553" y="553"/>
                    </a:lnTo>
                    <a:lnTo>
                      <a:pt x="562" y="562"/>
                    </a:lnTo>
                    <a:lnTo>
                      <a:pt x="562" y="562"/>
                    </a:lnTo>
                    <a:lnTo>
                      <a:pt x="562" y="562"/>
                    </a:lnTo>
                    <a:lnTo>
                      <a:pt x="562" y="562"/>
                    </a:lnTo>
                    <a:lnTo>
                      <a:pt x="571" y="562"/>
                    </a:lnTo>
                    <a:lnTo>
                      <a:pt x="571" y="562"/>
                    </a:lnTo>
                    <a:lnTo>
                      <a:pt x="571" y="562"/>
                    </a:lnTo>
                    <a:lnTo>
                      <a:pt x="571" y="562"/>
                    </a:lnTo>
                    <a:lnTo>
                      <a:pt x="571" y="562"/>
                    </a:lnTo>
                    <a:lnTo>
                      <a:pt x="571" y="562"/>
                    </a:lnTo>
                    <a:lnTo>
                      <a:pt x="580" y="571"/>
                    </a:lnTo>
                    <a:lnTo>
                      <a:pt x="580" y="571"/>
                    </a:lnTo>
                    <a:lnTo>
                      <a:pt x="580" y="571"/>
                    </a:lnTo>
                    <a:lnTo>
                      <a:pt x="580" y="571"/>
                    </a:lnTo>
                    <a:lnTo>
                      <a:pt x="580" y="571"/>
                    </a:lnTo>
                    <a:lnTo>
                      <a:pt x="589" y="571"/>
                    </a:lnTo>
                    <a:lnTo>
                      <a:pt x="589" y="571"/>
                    </a:lnTo>
                    <a:lnTo>
                      <a:pt x="589" y="571"/>
                    </a:lnTo>
                    <a:lnTo>
                      <a:pt x="589" y="571"/>
                    </a:lnTo>
                    <a:lnTo>
                      <a:pt x="589" y="571"/>
                    </a:lnTo>
                    <a:lnTo>
                      <a:pt x="598" y="571"/>
                    </a:lnTo>
                    <a:lnTo>
                      <a:pt x="598" y="571"/>
                    </a:lnTo>
                    <a:lnTo>
                      <a:pt x="598" y="571"/>
                    </a:lnTo>
                    <a:lnTo>
                      <a:pt x="607" y="571"/>
                    </a:lnTo>
                    <a:lnTo>
                      <a:pt x="607" y="571"/>
                    </a:lnTo>
                    <a:lnTo>
                      <a:pt x="607" y="571"/>
                    </a:lnTo>
                    <a:lnTo>
                      <a:pt x="607" y="571"/>
                    </a:lnTo>
                    <a:lnTo>
                      <a:pt x="616" y="571"/>
                    </a:lnTo>
                    <a:lnTo>
                      <a:pt x="616" y="571"/>
                    </a:lnTo>
                    <a:lnTo>
                      <a:pt x="616" y="571"/>
                    </a:lnTo>
                    <a:lnTo>
                      <a:pt x="616" y="571"/>
                    </a:lnTo>
                    <a:lnTo>
                      <a:pt x="616" y="571"/>
                    </a:lnTo>
                    <a:lnTo>
                      <a:pt x="616" y="571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34" y="580"/>
                    </a:lnTo>
                    <a:lnTo>
                      <a:pt x="634" y="580"/>
                    </a:lnTo>
                    <a:lnTo>
                      <a:pt x="634" y="580"/>
                    </a:lnTo>
                    <a:lnTo>
                      <a:pt x="634" y="580"/>
                    </a:lnTo>
                    <a:lnTo>
                      <a:pt x="643" y="580"/>
                    </a:lnTo>
                    <a:lnTo>
                      <a:pt x="643" y="580"/>
                    </a:lnTo>
                    <a:lnTo>
                      <a:pt x="643" y="580"/>
                    </a:lnTo>
                    <a:lnTo>
                      <a:pt x="643" y="580"/>
                    </a:lnTo>
                    <a:lnTo>
                      <a:pt x="652" y="580"/>
                    </a:lnTo>
                    <a:lnTo>
                      <a:pt x="652" y="580"/>
                    </a:lnTo>
                    <a:lnTo>
                      <a:pt x="652" y="580"/>
                    </a:lnTo>
                    <a:lnTo>
                      <a:pt x="661" y="580"/>
                    </a:lnTo>
                    <a:lnTo>
                      <a:pt x="661" y="580"/>
                    </a:lnTo>
                    <a:lnTo>
                      <a:pt x="661" y="580"/>
                    </a:lnTo>
                    <a:lnTo>
                      <a:pt x="669" y="580"/>
                    </a:lnTo>
                    <a:lnTo>
                      <a:pt x="669" y="580"/>
                    </a:lnTo>
                    <a:lnTo>
                      <a:pt x="669" y="571"/>
                    </a:lnTo>
                    <a:lnTo>
                      <a:pt x="669" y="571"/>
                    </a:lnTo>
                    <a:lnTo>
                      <a:pt x="669" y="571"/>
                    </a:lnTo>
                    <a:lnTo>
                      <a:pt x="669" y="571"/>
                    </a:lnTo>
                    <a:lnTo>
                      <a:pt x="669" y="571"/>
                    </a:lnTo>
                    <a:lnTo>
                      <a:pt x="669" y="562"/>
                    </a:lnTo>
                    <a:lnTo>
                      <a:pt x="669" y="562"/>
                    </a:lnTo>
                    <a:lnTo>
                      <a:pt x="669" y="562"/>
                    </a:lnTo>
                    <a:lnTo>
                      <a:pt x="669" y="562"/>
                    </a:lnTo>
                    <a:lnTo>
                      <a:pt x="669" y="562"/>
                    </a:lnTo>
                    <a:lnTo>
                      <a:pt x="661" y="553"/>
                    </a:lnTo>
                    <a:lnTo>
                      <a:pt x="661" y="553"/>
                    </a:lnTo>
                    <a:lnTo>
                      <a:pt x="661" y="553"/>
                    </a:lnTo>
                    <a:lnTo>
                      <a:pt x="661" y="553"/>
                    </a:lnTo>
                    <a:lnTo>
                      <a:pt x="661" y="553"/>
                    </a:lnTo>
                    <a:lnTo>
                      <a:pt x="661" y="553"/>
                    </a:lnTo>
                    <a:lnTo>
                      <a:pt x="661" y="553"/>
                    </a:lnTo>
                    <a:lnTo>
                      <a:pt x="661" y="553"/>
                    </a:lnTo>
                    <a:lnTo>
                      <a:pt x="661" y="553"/>
                    </a:lnTo>
                    <a:lnTo>
                      <a:pt x="661" y="553"/>
                    </a:lnTo>
                    <a:lnTo>
                      <a:pt x="652" y="544"/>
                    </a:lnTo>
                    <a:lnTo>
                      <a:pt x="652" y="544"/>
                    </a:lnTo>
                    <a:lnTo>
                      <a:pt x="652" y="544"/>
                    </a:lnTo>
                    <a:lnTo>
                      <a:pt x="652" y="544"/>
                    </a:lnTo>
                    <a:lnTo>
                      <a:pt x="652" y="544"/>
                    </a:lnTo>
                    <a:lnTo>
                      <a:pt x="652" y="544"/>
                    </a:lnTo>
                    <a:lnTo>
                      <a:pt x="652" y="544"/>
                    </a:lnTo>
                    <a:lnTo>
                      <a:pt x="652" y="544"/>
                    </a:lnTo>
                    <a:lnTo>
                      <a:pt x="652" y="544"/>
                    </a:lnTo>
                    <a:lnTo>
                      <a:pt x="652" y="544"/>
                    </a:lnTo>
                    <a:lnTo>
                      <a:pt x="652" y="535"/>
                    </a:lnTo>
                    <a:lnTo>
                      <a:pt x="652" y="535"/>
                    </a:lnTo>
                    <a:lnTo>
                      <a:pt x="652" y="535"/>
                    </a:lnTo>
                    <a:lnTo>
                      <a:pt x="652" y="535"/>
                    </a:lnTo>
                    <a:lnTo>
                      <a:pt x="643" y="535"/>
                    </a:lnTo>
                    <a:lnTo>
                      <a:pt x="643" y="526"/>
                    </a:lnTo>
                    <a:lnTo>
                      <a:pt x="643" y="526"/>
                    </a:lnTo>
                    <a:lnTo>
                      <a:pt x="643" y="526"/>
                    </a:lnTo>
                    <a:lnTo>
                      <a:pt x="643" y="526"/>
                    </a:lnTo>
                    <a:lnTo>
                      <a:pt x="643" y="517"/>
                    </a:lnTo>
                    <a:lnTo>
                      <a:pt x="643" y="517"/>
                    </a:lnTo>
                    <a:lnTo>
                      <a:pt x="643" y="517"/>
                    </a:lnTo>
                    <a:lnTo>
                      <a:pt x="634" y="517"/>
                    </a:lnTo>
                    <a:lnTo>
                      <a:pt x="634" y="517"/>
                    </a:lnTo>
                    <a:lnTo>
                      <a:pt x="634" y="509"/>
                    </a:lnTo>
                    <a:lnTo>
                      <a:pt x="634" y="509"/>
                    </a:lnTo>
                    <a:lnTo>
                      <a:pt x="634" y="509"/>
                    </a:lnTo>
                    <a:lnTo>
                      <a:pt x="634" y="509"/>
                    </a:lnTo>
                    <a:lnTo>
                      <a:pt x="625" y="509"/>
                    </a:lnTo>
                    <a:lnTo>
                      <a:pt x="625" y="500"/>
                    </a:lnTo>
                    <a:lnTo>
                      <a:pt x="625" y="500"/>
                    </a:lnTo>
                    <a:lnTo>
                      <a:pt x="625" y="500"/>
                    </a:lnTo>
                    <a:lnTo>
                      <a:pt x="616" y="500"/>
                    </a:lnTo>
                    <a:lnTo>
                      <a:pt x="616" y="500"/>
                    </a:lnTo>
                    <a:lnTo>
                      <a:pt x="616" y="491"/>
                    </a:lnTo>
                    <a:lnTo>
                      <a:pt x="616" y="491"/>
                    </a:lnTo>
                    <a:lnTo>
                      <a:pt x="616" y="491"/>
                    </a:lnTo>
                    <a:lnTo>
                      <a:pt x="607" y="491"/>
                    </a:lnTo>
                    <a:lnTo>
                      <a:pt x="607" y="491"/>
                    </a:lnTo>
                    <a:lnTo>
                      <a:pt x="607" y="491"/>
                    </a:lnTo>
                    <a:lnTo>
                      <a:pt x="607" y="491"/>
                    </a:lnTo>
                    <a:lnTo>
                      <a:pt x="607" y="482"/>
                    </a:lnTo>
                    <a:lnTo>
                      <a:pt x="598" y="482"/>
                    </a:lnTo>
                    <a:lnTo>
                      <a:pt x="598" y="482"/>
                    </a:lnTo>
                    <a:lnTo>
                      <a:pt x="598" y="482"/>
                    </a:lnTo>
                    <a:lnTo>
                      <a:pt x="598" y="482"/>
                    </a:lnTo>
                    <a:lnTo>
                      <a:pt x="598" y="482"/>
                    </a:lnTo>
                    <a:lnTo>
                      <a:pt x="598" y="473"/>
                    </a:lnTo>
                    <a:lnTo>
                      <a:pt x="598" y="473"/>
                    </a:lnTo>
                    <a:lnTo>
                      <a:pt x="598" y="473"/>
                    </a:lnTo>
                    <a:lnTo>
                      <a:pt x="598" y="473"/>
                    </a:lnTo>
                    <a:lnTo>
                      <a:pt x="598" y="473"/>
                    </a:lnTo>
                    <a:lnTo>
                      <a:pt x="598" y="464"/>
                    </a:lnTo>
                    <a:lnTo>
                      <a:pt x="598" y="464"/>
                    </a:lnTo>
                    <a:lnTo>
                      <a:pt x="598" y="464"/>
                    </a:lnTo>
                    <a:lnTo>
                      <a:pt x="598" y="464"/>
                    </a:lnTo>
                    <a:lnTo>
                      <a:pt x="607" y="455"/>
                    </a:lnTo>
                    <a:lnTo>
                      <a:pt x="607" y="455"/>
                    </a:lnTo>
                    <a:lnTo>
                      <a:pt x="607" y="455"/>
                    </a:lnTo>
                    <a:lnTo>
                      <a:pt x="598" y="455"/>
                    </a:lnTo>
                    <a:lnTo>
                      <a:pt x="598" y="455"/>
                    </a:lnTo>
                    <a:lnTo>
                      <a:pt x="598" y="455"/>
                    </a:lnTo>
                    <a:lnTo>
                      <a:pt x="589" y="455"/>
                    </a:lnTo>
                    <a:lnTo>
                      <a:pt x="589" y="446"/>
                    </a:lnTo>
                    <a:lnTo>
                      <a:pt x="589" y="446"/>
                    </a:lnTo>
                    <a:lnTo>
                      <a:pt x="589" y="446"/>
                    </a:lnTo>
                    <a:lnTo>
                      <a:pt x="589" y="446"/>
                    </a:lnTo>
                    <a:lnTo>
                      <a:pt x="589" y="446"/>
                    </a:lnTo>
                    <a:lnTo>
                      <a:pt x="589" y="437"/>
                    </a:lnTo>
                    <a:lnTo>
                      <a:pt x="589" y="437"/>
                    </a:lnTo>
                    <a:lnTo>
                      <a:pt x="589" y="437"/>
                    </a:lnTo>
                    <a:lnTo>
                      <a:pt x="598" y="437"/>
                    </a:lnTo>
                    <a:lnTo>
                      <a:pt x="598" y="437"/>
                    </a:lnTo>
                    <a:lnTo>
                      <a:pt x="607" y="437"/>
                    </a:lnTo>
                    <a:lnTo>
                      <a:pt x="607" y="428"/>
                    </a:lnTo>
                    <a:lnTo>
                      <a:pt x="607" y="428"/>
                    </a:lnTo>
                    <a:lnTo>
                      <a:pt x="616" y="428"/>
                    </a:lnTo>
                    <a:lnTo>
                      <a:pt x="616" y="428"/>
                    </a:lnTo>
                    <a:lnTo>
                      <a:pt x="625" y="428"/>
                    </a:lnTo>
                    <a:lnTo>
                      <a:pt x="625" y="428"/>
                    </a:lnTo>
                    <a:lnTo>
                      <a:pt x="625" y="428"/>
                    </a:lnTo>
                    <a:lnTo>
                      <a:pt x="634" y="428"/>
                    </a:lnTo>
                    <a:lnTo>
                      <a:pt x="634" y="419"/>
                    </a:lnTo>
                    <a:lnTo>
                      <a:pt x="634" y="419"/>
                    </a:lnTo>
                    <a:lnTo>
                      <a:pt x="634" y="419"/>
                    </a:lnTo>
                    <a:lnTo>
                      <a:pt x="634" y="419"/>
                    </a:lnTo>
                    <a:lnTo>
                      <a:pt x="634" y="419"/>
                    </a:lnTo>
                    <a:lnTo>
                      <a:pt x="634" y="419"/>
                    </a:lnTo>
                    <a:lnTo>
                      <a:pt x="643" y="410"/>
                    </a:lnTo>
                    <a:lnTo>
                      <a:pt x="643" y="410"/>
                    </a:lnTo>
                    <a:lnTo>
                      <a:pt x="643" y="410"/>
                    </a:lnTo>
                    <a:lnTo>
                      <a:pt x="643" y="410"/>
                    </a:lnTo>
                    <a:lnTo>
                      <a:pt x="643" y="410"/>
                    </a:lnTo>
                    <a:lnTo>
                      <a:pt x="643" y="410"/>
                    </a:lnTo>
                    <a:lnTo>
                      <a:pt x="652" y="410"/>
                    </a:lnTo>
                    <a:lnTo>
                      <a:pt x="652" y="410"/>
                    </a:lnTo>
                    <a:lnTo>
                      <a:pt x="652" y="410"/>
                    </a:lnTo>
                    <a:lnTo>
                      <a:pt x="652" y="410"/>
                    </a:lnTo>
                    <a:lnTo>
                      <a:pt x="661" y="410"/>
                    </a:lnTo>
                    <a:lnTo>
                      <a:pt x="661" y="401"/>
                    </a:lnTo>
                    <a:lnTo>
                      <a:pt x="661" y="401"/>
                    </a:lnTo>
                    <a:lnTo>
                      <a:pt x="661" y="401"/>
                    </a:lnTo>
                    <a:lnTo>
                      <a:pt x="661" y="401"/>
                    </a:lnTo>
                    <a:lnTo>
                      <a:pt x="661" y="392"/>
                    </a:lnTo>
                    <a:lnTo>
                      <a:pt x="661" y="392"/>
                    </a:lnTo>
                    <a:lnTo>
                      <a:pt x="661" y="392"/>
                    </a:lnTo>
                    <a:lnTo>
                      <a:pt x="661" y="392"/>
                    </a:lnTo>
                    <a:lnTo>
                      <a:pt x="661" y="384"/>
                    </a:lnTo>
                    <a:lnTo>
                      <a:pt x="661" y="384"/>
                    </a:lnTo>
                    <a:lnTo>
                      <a:pt x="661" y="384"/>
                    </a:lnTo>
                    <a:lnTo>
                      <a:pt x="661" y="375"/>
                    </a:lnTo>
                    <a:lnTo>
                      <a:pt x="661" y="375"/>
                    </a:lnTo>
                    <a:lnTo>
                      <a:pt x="661" y="366"/>
                    </a:lnTo>
                    <a:lnTo>
                      <a:pt x="661" y="366"/>
                    </a:lnTo>
                    <a:lnTo>
                      <a:pt x="661" y="366"/>
                    </a:lnTo>
                    <a:lnTo>
                      <a:pt x="652" y="357"/>
                    </a:lnTo>
                    <a:lnTo>
                      <a:pt x="652" y="357"/>
                    </a:lnTo>
                    <a:lnTo>
                      <a:pt x="652" y="357"/>
                    </a:lnTo>
                    <a:lnTo>
                      <a:pt x="652" y="357"/>
                    </a:lnTo>
                    <a:lnTo>
                      <a:pt x="652" y="348"/>
                    </a:lnTo>
                    <a:lnTo>
                      <a:pt x="652" y="348"/>
                    </a:lnTo>
                    <a:lnTo>
                      <a:pt x="643" y="348"/>
                    </a:lnTo>
                    <a:lnTo>
                      <a:pt x="643" y="348"/>
                    </a:lnTo>
                    <a:lnTo>
                      <a:pt x="652" y="339"/>
                    </a:lnTo>
                    <a:lnTo>
                      <a:pt x="652" y="339"/>
                    </a:lnTo>
                    <a:lnTo>
                      <a:pt x="652" y="339"/>
                    </a:lnTo>
                    <a:lnTo>
                      <a:pt x="652" y="339"/>
                    </a:lnTo>
                    <a:lnTo>
                      <a:pt x="652" y="339"/>
                    </a:lnTo>
                    <a:lnTo>
                      <a:pt x="661" y="339"/>
                    </a:lnTo>
                    <a:lnTo>
                      <a:pt x="661" y="339"/>
                    </a:lnTo>
                    <a:lnTo>
                      <a:pt x="661" y="339"/>
                    </a:lnTo>
                    <a:lnTo>
                      <a:pt x="669" y="339"/>
                    </a:lnTo>
                    <a:lnTo>
                      <a:pt x="669" y="339"/>
                    </a:lnTo>
                    <a:lnTo>
                      <a:pt x="669" y="339"/>
                    </a:lnTo>
                    <a:lnTo>
                      <a:pt x="669" y="339"/>
                    </a:lnTo>
                    <a:lnTo>
                      <a:pt x="678" y="339"/>
                    </a:lnTo>
                    <a:lnTo>
                      <a:pt x="678" y="339"/>
                    </a:lnTo>
                    <a:lnTo>
                      <a:pt x="678" y="339"/>
                    </a:lnTo>
                    <a:lnTo>
                      <a:pt x="678" y="339"/>
                    </a:lnTo>
                    <a:lnTo>
                      <a:pt x="678" y="348"/>
                    </a:lnTo>
                    <a:lnTo>
                      <a:pt x="678" y="348"/>
                    </a:lnTo>
                    <a:lnTo>
                      <a:pt x="678" y="348"/>
                    </a:lnTo>
                    <a:lnTo>
                      <a:pt x="678" y="348"/>
                    </a:lnTo>
                    <a:lnTo>
                      <a:pt x="678" y="348"/>
                    </a:lnTo>
                    <a:lnTo>
                      <a:pt x="678" y="357"/>
                    </a:lnTo>
                    <a:lnTo>
                      <a:pt x="678" y="357"/>
                    </a:lnTo>
                    <a:lnTo>
                      <a:pt x="687" y="357"/>
                    </a:lnTo>
                    <a:lnTo>
                      <a:pt x="696" y="357"/>
                    </a:lnTo>
                    <a:lnTo>
                      <a:pt x="705" y="357"/>
                    </a:lnTo>
                    <a:lnTo>
                      <a:pt x="723" y="357"/>
                    </a:lnTo>
                    <a:lnTo>
                      <a:pt x="741" y="357"/>
                    </a:lnTo>
                    <a:lnTo>
                      <a:pt x="759" y="357"/>
                    </a:lnTo>
                    <a:lnTo>
                      <a:pt x="768" y="357"/>
                    </a:lnTo>
                    <a:lnTo>
                      <a:pt x="786" y="357"/>
                    </a:lnTo>
                    <a:lnTo>
                      <a:pt x="794" y="357"/>
                    </a:lnTo>
                    <a:lnTo>
                      <a:pt x="794" y="348"/>
                    </a:lnTo>
                    <a:lnTo>
                      <a:pt x="794" y="348"/>
                    </a:lnTo>
                    <a:lnTo>
                      <a:pt x="794" y="348"/>
                    </a:lnTo>
                    <a:lnTo>
                      <a:pt x="794" y="348"/>
                    </a:lnTo>
                    <a:lnTo>
                      <a:pt x="794" y="348"/>
                    </a:lnTo>
                    <a:lnTo>
                      <a:pt x="794" y="348"/>
                    </a:lnTo>
                    <a:lnTo>
                      <a:pt x="786" y="348"/>
                    </a:lnTo>
                    <a:lnTo>
                      <a:pt x="794" y="339"/>
                    </a:lnTo>
                    <a:lnTo>
                      <a:pt x="794" y="339"/>
                    </a:lnTo>
                    <a:lnTo>
                      <a:pt x="803" y="339"/>
                    </a:lnTo>
                    <a:lnTo>
                      <a:pt x="803" y="330"/>
                    </a:lnTo>
                    <a:lnTo>
                      <a:pt x="812" y="330"/>
                    </a:lnTo>
                    <a:lnTo>
                      <a:pt x="821" y="321"/>
                    </a:lnTo>
                    <a:lnTo>
                      <a:pt x="830" y="321"/>
                    </a:lnTo>
                    <a:lnTo>
                      <a:pt x="830" y="312"/>
                    </a:lnTo>
                    <a:lnTo>
                      <a:pt x="830" y="303"/>
                    </a:lnTo>
                    <a:lnTo>
                      <a:pt x="821" y="303"/>
                    </a:lnTo>
                    <a:lnTo>
                      <a:pt x="821" y="303"/>
                    </a:lnTo>
                    <a:lnTo>
                      <a:pt x="812" y="303"/>
                    </a:lnTo>
                    <a:lnTo>
                      <a:pt x="803" y="303"/>
                    </a:lnTo>
                    <a:lnTo>
                      <a:pt x="794" y="303"/>
                    </a:lnTo>
                    <a:lnTo>
                      <a:pt x="786" y="303"/>
                    </a:lnTo>
                    <a:lnTo>
                      <a:pt x="777" y="303"/>
                    </a:lnTo>
                    <a:lnTo>
                      <a:pt x="777" y="303"/>
                    </a:lnTo>
                    <a:lnTo>
                      <a:pt x="777" y="294"/>
                    </a:lnTo>
                    <a:lnTo>
                      <a:pt x="777" y="294"/>
                    </a:lnTo>
                    <a:lnTo>
                      <a:pt x="786" y="285"/>
                    </a:lnTo>
                    <a:lnTo>
                      <a:pt x="794" y="285"/>
                    </a:lnTo>
                    <a:lnTo>
                      <a:pt x="794" y="276"/>
                    </a:lnTo>
                    <a:lnTo>
                      <a:pt x="803" y="276"/>
                    </a:lnTo>
                    <a:lnTo>
                      <a:pt x="812" y="276"/>
                    </a:lnTo>
                    <a:lnTo>
                      <a:pt x="812" y="267"/>
                    </a:lnTo>
                    <a:lnTo>
                      <a:pt x="803" y="259"/>
                    </a:lnTo>
                    <a:lnTo>
                      <a:pt x="803" y="259"/>
                    </a:lnTo>
                    <a:lnTo>
                      <a:pt x="794" y="259"/>
                    </a:lnTo>
                    <a:lnTo>
                      <a:pt x="786" y="259"/>
                    </a:lnTo>
                    <a:lnTo>
                      <a:pt x="777" y="259"/>
                    </a:lnTo>
                    <a:lnTo>
                      <a:pt x="768" y="259"/>
                    </a:lnTo>
                    <a:lnTo>
                      <a:pt x="768" y="259"/>
                    </a:lnTo>
                    <a:lnTo>
                      <a:pt x="759" y="259"/>
                    </a:lnTo>
                    <a:lnTo>
                      <a:pt x="759" y="250"/>
                    </a:lnTo>
                    <a:lnTo>
                      <a:pt x="759" y="250"/>
                    </a:lnTo>
                    <a:lnTo>
                      <a:pt x="759" y="250"/>
                    </a:lnTo>
                    <a:lnTo>
                      <a:pt x="768" y="250"/>
                    </a:lnTo>
                    <a:lnTo>
                      <a:pt x="768" y="250"/>
                    </a:lnTo>
                    <a:lnTo>
                      <a:pt x="768" y="250"/>
                    </a:lnTo>
                    <a:lnTo>
                      <a:pt x="777" y="241"/>
                    </a:lnTo>
                    <a:lnTo>
                      <a:pt x="777" y="241"/>
                    </a:lnTo>
                    <a:lnTo>
                      <a:pt x="777" y="241"/>
                    </a:lnTo>
                    <a:lnTo>
                      <a:pt x="777" y="232"/>
                    </a:lnTo>
                    <a:lnTo>
                      <a:pt x="768" y="232"/>
                    </a:lnTo>
                    <a:lnTo>
                      <a:pt x="768" y="232"/>
                    </a:lnTo>
                    <a:lnTo>
                      <a:pt x="768" y="232"/>
                    </a:lnTo>
                    <a:lnTo>
                      <a:pt x="768" y="223"/>
                    </a:lnTo>
                    <a:lnTo>
                      <a:pt x="759" y="223"/>
                    </a:lnTo>
                    <a:lnTo>
                      <a:pt x="759" y="214"/>
                    </a:lnTo>
                    <a:lnTo>
                      <a:pt x="759" y="214"/>
                    </a:lnTo>
                    <a:lnTo>
                      <a:pt x="759" y="205"/>
                    </a:lnTo>
                    <a:lnTo>
                      <a:pt x="759" y="205"/>
                    </a:lnTo>
                    <a:lnTo>
                      <a:pt x="750" y="196"/>
                    </a:lnTo>
                    <a:lnTo>
                      <a:pt x="750" y="187"/>
                    </a:lnTo>
                    <a:lnTo>
                      <a:pt x="750" y="187"/>
                    </a:lnTo>
                    <a:lnTo>
                      <a:pt x="750" y="178"/>
                    </a:lnTo>
                    <a:lnTo>
                      <a:pt x="750" y="178"/>
                    </a:lnTo>
                    <a:lnTo>
                      <a:pt x="750" y="178"/>
                    </a:lnTo>
                    <a:lnTo>
                      <a:pt x="759" y="169"/>
                    </a:lnTo>
                    <a:lnTo>
                      <a:pt x="759" y="169"/>
                    </a:lnTo>
                    <a:lnTo>
                      <a:pt x="759" y="169"/>
                    </a:lnTo>
                    <a:lnTo>
                      <a:pt x="768" y="169"/>
                    </a:lnTo>
                    <a:lnTo>
                      <a:pt x="768" y="169"/>
                    </a:lnTo>
                    <a:lnTo>
                      <a:pt x="768" y="169"/>
                    </a:lnTo>
                    <a:lnTo>
                      <a:pt x="768" y="160"/>
                    </a:lnTo>
                    <a:lnTo>
                      <a:pt x="777" y="160"/>
                    </a:lnTo>
                    <a:lnTo>
                      <a:pt x="777" y="151"/>
                    </a:lnTo>
                    <a:lnTo>
                      <a:pt x="777" y="142"/>
                    </a:lnTo>
                    <a:lnTo>
                      <a:pt x="777" y="142"/>
                    </a:lnTo>
                    <a:lnTo>
                      <a:pt x="768" y="133"/>
                    </a:lnTo>
                    <a:lnTo>
                      <a:pt x="768" y="125"/>
                    </a:lnTo>
                    <a:lnTo>
                      <a:pt x="768" y="125"/>
                    </a:lnTo>
                    <a:lnTo>
                      <a:pt x="768" y="116"/>
                    </a:lnTo>
                    <a:lnTo>
                      <a:pt x="768" y="116"/>
                    </a:lnTo>
                    <a:lnTo>
                      <a:pt x="759" y="107"/>
                    </a:lnTo>
                    <a:lnTo>
                      <a:pt x="759" y="107"/>
                    </a:lnTo>
                    <a:lnTo>
                      <a:pt x="759" y="107"/>
                    </a:lnTo>
                    <a:lnTo>
                      <a:pt x="750" y="107"/>
                    </a:lnTo>
                    <a:lnTo>
                      <a:pt x="750" y="98"/>
                    </a:lnTo>
                    <a:lnTo>
                      <a:pt x="750" y="98"/>
                    </a:lnTo>
                    <a:lnTo>
                      <a:pt x="741" y="98"/>
                    </a:lnTo>
                    <a:lnTo>
                      <a:pt x="741" y="98"/>
                    </a:lnTo>
                    <a:lnTo>
                      <a:pt x="741" y="107"/>
                    </a:lnTo>
                    <a:lnTo>
                      <a:pt x="741" y="107"/>
                    </a:lnTo>
                    <a:lnTo>
                      <a:pt x="741" y="107"/>
                    </a:lnTo>
                    <a:lnTo>
                      <a:pt x="732" y="107"/>
                    </a:lnTo>
                    <a:lnTo>
                      <a:pt x="732" y="116"/>
                    </a:lnTo>
                    <a:lnTo>
                      <a:pt x="732" y="116"/>
                    </a:lnTo>
                    <a:lnTo>
                      <a:pt x="732" y="116"/>
                    </a:lnTo>
                    <a:lnTo>
                      <a:pt x="732" y="116"/>
                    </a:lnTo>
                    <a:lnTo>
                      <a:pt x="723" y="116"/>
                    </a:lnTo>
                    <a:lnTo>
                      <a:pt x="723" y="116"/>
                    </a:lnTo>
                    <a:lnTo>
                      <a:pt x="723" y="125"/>
                    </a:lnTo>
                    <a:lnTo>
                      <a:pt x="723" y="125"/>
                    </a:lnTo>
                    <a:lnTo>
                      <a:pt x="714" y="116"/>
                    </a:lnTo>
                    <a:lnTo>
                      <a:pt x="714" y="116"/>
                    </a:lnTo>
                    <a:lnTo>
                      <a:pt x="714" y="116"/>
                    </a:lnTo>
                    <a:lnTo>
                      <a:pt x="705" y="116"/>
                    </a:lnTo>
                    <a:lnTo>
                      <a:pt x="705" y="107"/>
                    </a:lnTo>
                    <a:lnTo>
                      <a:pt x="705" y="107"/>
                    </a:lnTo>
                    <a:lnTo>
                      <a:pt x="705" y="98"/>
                    </a:lnTo>
                    <a:lnTo>
                      <a:pt x="705" y="98"/>
                    </a:lnTo>
                    <a:lnTo>
                      <a:pt x="705" y="89"/>
                    </a:lnTo>
                    <a:lnTo>
                      <a:pt x="696" y="89"/>
                    </a:lnTo>
                    <a:lnTo>
                      <a:pt x="696" y="89"/>
                    </a:lnTo>
                    <a:lnTo>
                      <a:pt x="696" y="89"/>
                    </a:lnTo>
                    <a:lnTo>
                      <a:pt x="696" y="89"/>
                    </a:lnTo>
                    <a:lnTo>
                      <a:pt x="696" y="89"/>
                    </a:lnTo>
                    <a:lnTo>
                      <a:pt x="687" y="89"/>
                    </a:lnTo>
                    <a:lnTo>
                      <a:pt x="687" y="89"/>
                    </a:lnTo>
                    <a:lnTo>
                      <a:pt x="687" y="89"/>
                    </a:lnTo>
                    <a:lnTo>
                      <a:pt x="687" y="89"/>
                    </a:lnTo>
                    <a:lnTo>
                      <a:pt x="678" y="89"/>
                    </a:lnTo>
                    <a:lnTo>
                      <a:pt x="678" y="89"/>
                    </a:lnTo>
                    <a:lnTo>
                      <a:pt x="678" y="89"/>
                    </a:lnTo>
                    <a:lnTo>
                      <a:pt x="669" y="89"/>
                    </a:lnTo>
                    <a:lnTo>
                      <a:pt x="669" y="89"/>
                    </a:lnTo>
                    <a:lnTo>
                      <a:pt x="661" y="89"/>
                    </a:lnTo>
                    <a:lnTo>
                      <a:pt x="661" y="89"/>
                    </a:lnTo>
                    <a:lnTo>
                      <a:pt x="652" y="89"/>
                    </a:lnTo>
                    <a:lnTo>
                      <a:pt x="652" y="89"/>
                    </a:lnTo>
                    <a:lnTo>
                      <a:pt x="643" y="89"/>
                    </a:lnTo>
                    <a:lnTo>
                      <a:pt x="643" y="89"/>
                    </a:lnTo>
                    <a:lnTo>
                      <a:pt x="643" y="89"/>
                    </a:lnTo>
                    <a:lnTo>
                      <a:pt x="634" y="89"/>
                    </a:lnTo>
                    <a:lnTo>
                      <a:pt x="634" y="89"/>
                    </a:lnTo>
                    <a:lnTo>
                      <a:pt x="634" y="89"/>
                    </a:lnTo>
                    <a:lnTo>
                      <a:pt x="625" y="89"/>
                    </a:lnTo>
                    <a:lnTo>
                      <a:pt x="625" y="80"/>
                    </a:lnTo>
                    <a:lnTo>
                      <a:pt x="625" y="80"/>
                    </a:lnTo>
                    <a:lnTo>
                      <a:pt x="616" y="80"/>
                    </a:lnTo>
                    <a:lnTo>
                      <a:pt x="616" y="80"/>
                    </a:lnTo>
                    <a:lnTo>
                      <a:pt x="616" y="71"/>
                    </a:lnTo>
                    <a:lnTo>
                      <a:pt x="607" y="71"/>
                    </a:lnTo>
                    <a:lnTo>
                      <a:pt x="607" y="71"/>
                    </a:lnTo>
                    <a:lnTo>
                      <a:pt x="607" y="62"/>
                    </a:lnTo>
                    <a:lnTo>
                      <a:pt x="598" y="62"/>
                    </a:lnTo>
                    <a:lnTo>
                      <a:pt x="598" y="62"/>
                    </a:lnTo>
                    <a:lnTo>
                      <a:pt x="589" y="62"/>
                    </a:lnTo>
                    <a:lnTo>
                      <a:pt x="589" y="62"/>
                    </a:lnTo>
                    <a:lnTo>
                      <a:pt x="580" y="62"/>
                    </a:lnTo>
                    <a:lnTo>
                      <a:pt x="571" y="62"/>
                    </a:lnTo>
                    <a:lnTo>
                      <a:pt x="571" y="62"/>
                    </a:lnTo>
                    <a:lnTo>
                      <a:pt x="562" y="62"/>
                    </a:lnTo>
                    <a:lnTo>
                      <a:pt x="562" y="53"/>
                    </a:lnTo>
                    <a:lnTo>
                      <a:pt x="553" y="53"/>
                    </a:lnTo>
                    <a:lnTo>
                      <a:pt x="553" y="53"/>
                    </a:lnTo>
                    <a:lnTo>
                      <a:pt x="553" y="44"/>
                    </a:lnTo>
                    <a:lnTo>
                      <a:pt x="553" y="44"/>
                    </a:lnTo>
                    <a:lnTo>
                      <a:pt x="553" y="35"/>
                    </a:lnTo>
                    <a:lnTo>
                      <a:pt x="544" y="26"/>
                    </a:lnTo>
                    <a:lnTo>
                      <a:pt x="544" y="26"/>
                    </a:lnTo>
                    <a:lnTo>
                      <a:pt x="544" y="26"/>
                    </a:lnTo>
                    <a:lnTo>
                      <a:pt x="535" y="17"/>
                    </a:lnTo>
                    <a:lnTo>
                      <a:pt x="527" y="17"/>
                    </a:lnTo>
                    <a:lnTo>
                      <a:pt x="518" y="17"/>
                    </a:lnTo>
                    <a:lnTo>
                      <a:pt x="509" y="17"/>
                    </a:lnTo>
                    <a:lnTo>
                      <a:pt x="500" y="17"/>
                    </a:lnTo>
                    <a:lnTo>
                      <a:pt x="491" y="17"/>
                    </a:lnTo>
                    <a:lnTo>
                      <a:pt x="482" y="17"/>
                    </a:lnTo>
                    <a:lnTo>
                      <a:pt x="482" y="17"/>
                    </a:lnTo>
                    <a:lnTo>
                      <a:pt x="473" y="17"/>
                    </a:lnTo>
                    <a:lnTo>
                      <a:pt x="464" y="17"/>
                    </a:lnTo>
                    <a:lnTo>
                      <a:pt x="455" y="17"/>
                    </a:lnTo>
                    <a:lnTo>
                      <a:pt x="446" y="17"/>
                    </a:lnTo>
                    <a:lnTo>
                      <a:pt x="446" y="17"/>
                    </a:lnTo>
                    <a:lnTo>
                      <a:pt x="437" y="17"/>
                    </a:lnTo>
                    <a:lnTo>
                      <a:pt x="428" y="17"/>
                    </a:lnTo>
                    <a:lnTo>
                      <a:pt x="428" y="8"/>
                    </a:lnTo>
                    <a:lnTo>
                      <a:pt x="419" y="8"/>
                    </a:lnTo>
                    <a:lnTo>
                      <a:pt x="419" y="8"/>
                    </a:lnTo>
                    <a:lnTo>
                      <a:pt x="419" y="8"/>
                    </a:lnTo>
                    <a:lnTo>
                      <a:pt x="419" y="8"/>
                    </a:lnTo>
                    <a:lnTo>
                      <a:pt x="410" y="0"/>
                    </a:lnTo>
                    <a:lnTo>
                      <a:pt x="410" y="0"/>
                    </a:lnTo>
                    <a:lnTo>
                      <a:pt x="410" y="0"/>
                    </a:lnTo>
                    <a:lnTo>
                      <a:pt x="410" y="0"/>
                    </a:lnTo>
                    <a:lnTo>
                      <a:pt x="410" y="0"/>
                    </a:lnTo>
                    <a:lnTo>
                      <a:pt x="401" y="0"/>
                    </a:lnTo>
                    <a:lnTo>
                      <a:pt x="401" y="8"/>
                    </a:lnTo>
                    <a:lnTo>
                      <a:pt x="401" y="8"/>
                    </a:lnTo>
                    <a:lnTo>
                      <a:pt x="401" y="8"/>
                    </a:lnTo>
                    <a:lnTo>
                      <a:pt x="401" y="17"/>
                    </a:lnTo>
                    <a:lnTo>
                      <a:pt x="393" y="17"/>
                    </a:lnTo>
                    <a:lnTo>
                      <a:pt x="393" y="17"/>
                    </a:lnTo>
                    <a:lnTo>
                      <a:pt x="393" y="17"/>
                    </a:lnTo>
                    <a:lnTo>
                      <a:pt x="393" y="17"/>
                    </a:lnTo>
                    <a:lnTo>
                      <a:pt x="393" y="17"/>
                    </a:lnTo>
                    <a:lnTo>
                      <a:pt x="393" y="17"/>
                    </a:lnTo>
                    <a:lnTo>
                      <a:pt x="384" y="17"/>
                    </a:lnTo>
                    <a:lnTo>
                      <a:pt x="384" y="17"/>
                    </a:lnTo>
                    <a:lnTo>
                      <a:pt x="384" y="17"/>
                    </a:lnTo>
                    <a:lnTo>
                      <a:pt x="384" y="17"/>
                    </a:lnTo>
                    <a:lnTo>
                      <a:pt x="384" y="17"/>
                    </a:lnTo>
                    <a:lnTo>
                      <a:pt x="375" y="17"/>
                    </a:lnTo>
                    <a:lnTo>
                      <a:pt x="375" y="17"/>
                    </a:lnTo>
                    <a:lnTo>
                      <a:pt x="375" y="17"/>
                    </a:lnTo>
                    <a:lnTo>
                      <a:pt x="375" y="17"/>
                    </a:lnTo>
                    <a:lnTo>
                      <a:pt x="375" y="17"/>
                    </a:lnTo>
                    <a:lnTo>
                      <a:pt x="375" y="26"/>
                    </a:lnTo>
                    <a:lnTo>
                      <a:pt x="375" y="26"/>
                    </a:lnTo>
                    <a:lnTo>
                      <a:pt x="375" y="26"/>
                    </a:lnTo>
                    <a:lnTo>
                      <a:pt x="375" y="26"/>
                    </a:lnTo>
                    <a:lnTo>
                      <a:pt x="375" y="26"/>
                    </a:lnTo>
                    <a:lnTo>
                      <a:pt x="384" y="26"/>
                    </a:lnTo>
                    <a:lnTo>
                      <a:pt x="384" y="26"/>
                    </a:lnTo>
                    <a:lnTo>
                      <a:pt x="384" y="26"/>
                    </a:lnTo>
                    <a:lnTo>
                      <a:pt x="384" y="26"/>
                    </a:lnTo>
                    <a:lnTo>
                      <a:pt x="393" y="35"/>
                    </a:lnTo>
                    <a:lnTo>
                      <a:pt x="393" y="35"/>
                    </a:lnTo>
                    <a:lnTo>
                      <a:pt x="393" y="35"/>
                    </a:lnTo>
                    <a:lnTo>
                      <a:pt x="393" y="35"/>
                    </a:lnTo>
                    <a:lnTo>
                      <a:pt x="393" y="35"/>
                    </a:lnTo>
                    <a:lnTo>
                      <a:pt x="393" y="35"/>
                    </a:lnTo>
                    <a:lnTo>
                      <a:pt x="393" y="35"/>
                    </a:lnTo>
                    <a:lnTo>
                      <a:pt x="393" y="44"/>
                    </a:lnTo>
                    <a:lnTo>
                      <a:pt x="393" y="44"/>
                    </a:lnTo>
                    <a:lnTo>
                      <a:pt x="401" y="44"/>
                    </a:lnTo>
                    <a:lnTo>
                      <a:pt x="401" y="44"/>
                    </a:lnTo>
                    <a:lnTo>
                      <a:pt x="401" y="44"/>
                    </a:lnTo>
                    <a:lnTo>
                      <a:pt x="410" y="44"/>
                    </a:lnTo>
                    <a:lnTo>
                      <a:pt x="410" y="44"/>
                    </a:lnTo>
                    <a:lnTo>
                      <a:pt x="410" y="44"/>
                    </a:lnTo>
                    <a:lnTo>
                      <a:pt x="419" y="44"/>
                    </a:lnTo>
                    <a:lnTo>
                      <a:pt x="419" y="44"/>
                    </a:lnTo>
                    <a:lnTo>
                      <a:pt x="419" y="44"/>
                    </a:lnTo>
                    <a:lnTo>
                      <a:pt x="419" y="44"/>
                    </a:lnTo>
                    <a:lnTo>
                      <a:pt x="419" y="53"/>
                    </a:lnTo>
                    <a:lnTo>
                      <a:pt x="428" y="53"/>
                    </a:lnTo>
                    <a:lnTo>
                      <a:pt x="428" y="53"/>
                    </a:lnTo>
                    <a:lnTo>
                      <a:pt x="428" y="53"/>
                    </a:lnTo>
                    <a:lnTo>
                      <a:pt x="428" y="53"/>
                    </a:lnTo>
                    <a:lnTo>
                      <a:pt x="428" y="53"/>
                    </a:lnTo>
                    <a:lnTo>
                      <a:pt x="428" y="53"/>
                    </a:lnTo>
                    <a:lnTo>
                      <a:pt x="428" y="53"/>
                    </a:lnTo>
                    <a:lnTo>
                      <a:pt x="428" y="53"/>
                    </a:lnTo>
                    <a:lnTo>
                      <a:pt x="428" y="53"/>
                    </a:lnTo>
                    <a:lnTo>
                      <a:pt x="428" y="62"/>
                    </a:lnTo>
                    <a:lnTo>
                      <a:pt x="428" y="62"/>
                    </a:lnTo>
                    <a:lnTo>
                      <a:pt x="428" y="62"/>
                    </a:lnTo>
                    <a:lnTo>
                      <a:pt x="428" y="62"/>
                    </a:lnTo>
                    <a:lnTo>
                      <a:pt x="428" y="62"/>
                    </a:lnTo>
                    <a:lnTo>
                      <a:pt x="428" y="62"/>
                    </a:lnTo>
                    <a:lnTo>
                      <a:pt x="428" y="62"/>
                    </a:lnTo>
                    <a:lnTo>
                      <a:pt x="419" y="62"/>
                    </a:lnTo>
                    <a:lnTo>
                      <a:pt x="419" y="62"/>
                    </a:lnTo>
                    <a:lnTo>
                      <a:pt x="419" y="62"/>
                    </a:lnTo>
                    <a:lnTo>
                      <a:pt x="419" y="62"/>
                    </a:lnTo>
                    <a:lnTo>
                      <a:pt x="419" y="62"/>
                    </a:lnTo>
                    <a:lnTo>
                      <a:pt x="410" y="62"/>
                    </a:lnTo>
                    <a:lnTo>
                      <a:pt x="410" y="62"/>
                    </a:lnTo>
                    <a:lnTo>
                      <a:pt x="410" y="62"/>
                    </a:lnTo>
                    <a:lnTo>
                      <a:pt x="410" y="62"/>
                    </a:lnTo>
                    <a:lnTo>
                      <a:pt x="410" y="62"/>
                    </a:lnTo>
                    <a:lnTo>
                      <a:pt x="401" y="62"/>
                    </a:lnTo>
                    <a:lnTo>
                      <a:pt x="401" y="62"/>
                    </a:lnTo>
                    <a:lnTo>
                      <a:pt x="401" y="62"/>
                    </a:lnTo>
                    <a:lnTo>
                      <a:pt x="401" y="62"/>
                    </a:lnTo>
                    <a:lnTo>
                      <a:pt x="401" y="62"/>
                    </a:lnTo>
                    <a:lnTo>
                      <a:pt x="401" y="62"/>
                    </a:lnTo>
                    <a:lnTo>
                      <a:pt x="401" y="71"/>
                    </a:lnTo>
                    <a:lnTo>
                      <a:pt x="401" y="71"/>
                    </a:lnTo>
                    <a:lnTo>
                      <a:pt x="401" y="71"/>
                    </a:lnTo>
                    <a:lnTo>
                      <a:pt x="401" y="80"/>
                    </a:lnTo>
                    <a:lnTo>
                      <a:pt x="401" y="80"/>
                    </a:lnTo>
                    <a:lnTo>
                      <a:pt x="401" y="80"/>
                    </a:lnTo>
                    <a:lnTo>
                      <a:pt x="401" y="80"/>
                    </a:lnTo>
                    <a:lnTo>
                      <a:pt x="401" y="89"/>
                    </a:lnTo>
                    <a:lnTo>
                      <a:pt x="401" y="89"/>
                    </a:lnTo>
                    <a:lnTo>
                      <a:pt x="401" y="89"/>
                    </a:lnTo>
                    <a:lnTo>
                      <a:pt x="401" y="89"/>
                    </a:lnTo>
                    <a:lnTo>
                      <a:pt x="401" y="98"/>
                    </a:lnTo>
                    <a:lnTo>
                      <a:pt x="401" y="98"/>
                    </a:lnTo>
                    <a:lnTo>
                      <a:pt x="401" y="98"/>
                    </a:lnTo>
                    <a:lnTo>
                      <a:pt x="401" y="98"/>
                    </a:lnTo>
                    <a:lnTo>
                      <a:pt x="401" y="98"/>
                    </a:lnTo>
                    <a:lnTo>
                      <a:pt x="401" y="107"/>
                    </a:lnTo>
                    <a:lnTo>
                      <a:pt x="401" y="107"/>
                    </a:lnTo>
                    <a:lnTo>
                      <a:pt x="401" y="107"/>
                    </a:lnTo>
                    <a:lnTo>
                      <a:pt x="393" y="107"/>
                    </a:lnTo>
                    <a:lnTo>
                      <a:pt x="393" y="107"/>
                    </a:lnTo>
                    <a:lnTo>
                      <a:pt x="393" y="107"/>
                    </a:lnTo>
                    <a:lnTo>
                      <a:pt x="393" y="107"/>
                    </a:lnTo>
                    <a:lnTo>
                      <a:pt x="384" y="107"/>
                    </a:lnTo>
                    <a:lnTo>
                      <a:pt x="384" y="107"/>
                    </a:lnTo>
                    <a:lnTo>
                      <a:pt x="384" y="107"/>
                    </a:lnTo>
                    <a:lnTo>
                      <a:pt x="384" y="107"/>
                    </a:lnTo>
                    <a:lnTo>
                      <a:pt x="375" y="107"/>
                    </a:lnTo>
                    <a:lnTo>
                      <a:pt x="375" y="107"/>
                    </a:lnTo>
                    <a:lnTo>
                      <a:pt x="375" y="107"/>
                    </a:lnTo>
                    <a:lnTo>
                      <a:pt x="375" y="107"/>
                    </a:lnTo>
                    <a:lnTo>
                      <a:pt x="366" y="107"/>
                    </a:lnTo>
                    <a:lnTo>
                      <a:pt x="366" y="107"/>
                    </a:lnTo>
                    <a:lnTo>
                      <a:pt x="366" y="107"/>
                    </a:lnTo>
                    <a:lnTo>
                      <a:pt x="366" y="107"/>
                    </a:lnTo>
                    <a:lnTo>
                      <a:pt x="357" y="107"/>
                    </a:lnTo>
                    <a:lnTo>
                      <a:pt x="357" y="107"/>
                    </a:lnTo>
                    <a:lnTo>
                      <a:pt x="357" y="107"/>
                    </a:lnTo>
                    <a:lnTo>
                      <a:pt x="357" y="107"/>
                    </a:lnTo>
                    <a:lnTo>
                      <a:pt x="357" y="107"/>
                    </a:lnTo>
                    <a:lnTo>
                      <a:pt x="357" y="107"/>
                    </a:lnTo>
                    <a:lnTo>
                      <a:pt x="357" y="116"/>
                    </a:lnTo>
                    <a:lnTo>
                      <a:pt x="357" y="116"/>
                    </a:lnTo>
                    <a:lnTo>
                      <a:pt x="357" y="116"/>
                    </a:lnTo>
                    <a:lnTo>
                      <a:pt x="357" y="116"/>
                    </a:lnTo>
                    <a:lnTo>
                      <a:pt x="357" y="116"/>
                    </a:lnTo>
                    <a:lnTo>
                      <a:pt x="357" y="125"/>
                    </a:lnTo>
                    <a:lnTo>
                      <a:pt x="357" y="125"/>
                    </a:lnTo>
                    <a:lnTo>
                      <a:pt x="357" y="125"/>
                    </a:lnTo>
                    <a:lnTo>
                      <a:pt x="357" y="125"/>
                    </a:lnTo>
                    <a:lnTo>
                      <a:pt x="357" y="125"/>
                    </a:lnTo>
                    <a:lnTo>
                      <a:pt x="357" y="133"/>
                    </a:lnTo>
                    <a:lnTo>
                      <a:pt x="366" y="133"/>
                    </a:lnTo>
                    <a:lnTo>
                      <a:pt x="366" y="133"/>
                    </a:lnTo>
                    <a:lnTo>
                      <a:pt x="366" y="133"/>
                    </a:lnTo>
                    <a:lnTo>
                      <a:pt x="366" y="133"/>
                    </a:lnTo>
                    <a:lnTo>
                      <a:pt x="375" y="133"/>
                    </a:lnTo>
                    <a:lnTo>
                      <a:pt x="375" y="133"/>
                    </a:lnTo>
                    <a:lnTo>
                      <a:pt x="375" y="133"/>
                    </a:lnTo>
                    <a:lnTo>
                      <a:pt x="384" y="133"/>
                    </a:lnTo>
                    <a:lnTo>
                      <a:pt x="384" y="133"/>
                    </a:lnTo>
                    <a:lnTo>
                      <a:pt x="384" y="133"/>
                    </a:lnTo>
                    <a:lnTo>
                      <a:pt x="384" y="133"/>
                    </a:lnTo>
                    <a:lnTo>
                      <a:pt x="384" y="133"/>
                    </a:lnTo>
                    <a:lnTo>
                      <a:pt x="393" y="133"/>
                    </a:lnTo>
                    <a:lnTo>
                      <a:pt x="393" y="133"/>
                    </a:lnTo>
                    <a:lnTo>
                      <a:pt x="393" y="133"/>
                    </a:lnTo>
                    <a:lnTo>
                      <a:pt x="393" y="133"/>
                    </a:lnTo>
                    <a:lnTo>
                      <a:pt x="393" y="133"/>
                    </a:lnTo>
                    <a:lnTo>
                      <a:pt x="393" y="133"/>
                    </a:lnTo>
                    <a:lnTo>
                      <a:pt x="393" y="133"/>
                    </a:lnTo>
                    <a:lnTo>
                      <a:pt x="393" y="142"/>
                    </a:lnTo>
                    <a:lnTo>
                      <a:pt x="393" y="142"/>
                    </a:lnTo>
                    <a:lnTo>
                      <a:pt x="393" y="142"/>
                    </a:lnTo>
                    <a:lnTo>
                      <a:pt x="384" y="142"/>
                    </a:lnTo>
                    <a:lnTo>
                      <a:pt x="384" y="142"/>
                    </a:lnTo>
                    <a:lnTo>
                      <a:pt x="384" y="142"/>
                    </a:lnTo>
                    <a:lnTo>
                      <a:pt x="384" y="142"/>
                    </a:lnTo>
                    <a:lnTo>
                      <a:pt x="384" y="142"/>
                    </a:lnTo>
                    <a:lnTo>
                      <a:pt x="384" y="142"/>
                    </a:lnTo>
                    <a:lnTo>
                      <a:pt x="384" y="142"/>
                    </a:lnTo>
                    <a:lnTo>
                      <a:pt x="384" y="151"/>
                    </a:lnTo>
                    <a:lnTo>
                      <a:pt x="384" y="151"/>
                    </a:lnTo>
                    <a:lnTo>
                      <a:pt x="384" y="151"/>
                    </a:lnTo>
                    <a:lnTo>
                      <a:pt x="384" y="151"/>
                    </a:lnTo>
                    <a:lnTo>
                      <a:pt x="375" y="151"/>
                    </a:lnTo>
                    <a:lnTo>
                      <a:pt x="375" y="151"/>
                    </a:lnTo>
                    <a:lnTo>
                      <a:pt x="375" y="160"/>
                    </a:lnTo>
                    <a:lnTo>
                      <a:pt x="375" y="160"/>
                    </a:lnTo>
                    <a:lnTo>
                      <a:pt x="366" y="160"/>
                    </a:lnTo>
                    <a:lnTo>
                      <a:pt x="366" y="160"/>
                    </a:lnTo>
                    <a:lnTo>
                      <a:pt x="366" y="160"/>
                    </a:lnTo>
                    <a:lnTo>
                      <a:pt x="366" y="169"/>
                    </a:lnTo>
                    <a:lnTo>
                      <a:pt x="357" y="169"/>
                    </a:lnTo>
                    <a:lnTo>
                      <a:pt x="357" y="169"/>
                    </a:lnTo>
                    <a:lnTo>
                      <a:pt x="357" y="169"/>
                    </a:lnTo>
                    <a:lnTo>
                      <a:pt x="357" y="169"/>
                    </a:lnTo>
                    <a:lnTo>
                      <a:pt x="357" y="169"/>
                    </a:lnTo>
                    <a:lnTo>
                      <a:pt x="348" y="169"/>
                    </a:lnTo>
                    <a:lnTo>
                      <a:pt x="348" y="169"/>
                    </a:lnTo>
                    <a:lnTo>
                      <a:pt x="348" y="169"/>
                    </a:lnTo>
                    <a:lnTo>
                      <a:pt x="348" y="169"/>
                    </a:lnTo>
                    <a:lnTo>
                      <a:pt x="339" y="169"/>
                    </a:lnTo>
                    <a:lnTo>
                      <a:pt x="339" y="169"/>
                    </a:lnTo>
                    <a:lnTo>
                      <a:pt x="339" y="169"/>
                    </a:lnTo>
                    <a:lnTo>
                      <a:pt x="330" y="169"/>
                    </a:lnTo>
                    <a:lnTo>
                      <a:pt x="330" y="169"/>
                    </a:lnTo>
                    <a:lnTo>
                      <a:pt x="330" y="169"/>
                    </a:lnTo>
                    <a:lnTo>
                      <a:pt x="330" y="169"/>
                    </a:lnTo>
                    <a:lnTo>
                      <a:pt x="321" y="169"/>
                    </a:lnTo>
                    <a:lnTo>
                      <a:pt x="321" y="169"/>
                    </a:lnTo>
                    <a:lnTo>
                      <a:pt x="321" y="169"/>
                    </a:lnTo>
                    <a:lnTo>
                      <a:pt x="321" y="178"/>
                    </a:lnTo>
                    <a:lnTo>
                      <a:pt x="312" y="178"/>
                    </a:lnTo>
                    <a:lnTo>
                      <a:pt x="312" y="178"/>
                    </a:lnTo>
                    <a:lnTo>
                      <a:pt x="312" y="178"/>
                    </a:lnTo>
                    <a:lnTo>
                      <a:pt x="312" y="178"/>
                    </a:lnTo>
                    <a:lnTo>
                      <a:pt x="303" y="178"/>
                    </a:lnTo>
                    <a:lnTo>
                      <a:pt x="303" y="178"/>
                    </a:lnTo>
                    <a:lnTo>
                      <a:pt x="303" y="178"/>
                    </a:lnTo>
                    <a:lnTo>
                      <a:pt x="303" y="187"/>
                    </a:lnTo>
                    <a:lnTo>
                      <a:pt x="294" y="187"/>
                    </a:lnTo>
                    <a:lnTo>
                      <a:pt x="294" y="187"/>
                    </a:lnTo>
                    <a:lnTo>
                      <a:pt x="294" y="187"/>
                    </a:lnTo>
                    <a:lnTo>
                      <a:pt x="294" y="187"/>
                    </a:lnTo>
                    <a:lnTo>
                      <a:pt x="294" y="187"/>
                    </a:lnTo>
                    <a:lnTo>
                      <a:pt x="285" y="187"/>
                    </a:lnTo>
                    <a:lnTo>
                      <a:pt x="285" y="187"/>
                    </a:lnTo>
                    <a:lnTo>
                      <a:pt x="285" y="187"/>
                    </a:lnTo>
                    <a:lnTo>
                      <a:pt x="285" y="187"/>
                    </a:lnTo>
                    <a:lnTo>
                      <a:pt x="285" y="187"/>
                    </a:lnTo>
                    <a:lnTo>
                      <a:pt x="276" y="187"/>
                    </a:lnTo>
                    <a:lnTo>
                      <a:pt x="276" y="187"/>
                    </a:lnTo>
                    <a:lnTo>
                      <a:pt x="276" y="187"/>
                    </a:lnTo>
                    <a:lnTo>
                      <a:pt x="276" y="187"/>
                    </a:lnTo>
                    <a:lnTo>
                      <a:pt x="276" y="187"/>
                    </a:lnTo>
                    <a:lnTo>
                      <a:pt x="276" y="187"/>
                    </a:lnTo>
                    <a:lnTo>
                      <a:pt x="276" y="187"/>
                    </a:lnTo>
                    <a:lnTo>
                      <a:pt x="276" y="187"/>
                    </a:lnTo>
                    <a:lnTo>
                      <a:pt x="267" y="178"/>
                    </a:lnTo>
                    <a:lnTo>
                      <a:pt x="267" y="178"/>
                    </a:lnTo>
                    <a:lnTo>
                      <a:pt x="267" y="178"/>
                    </a:lnTo>
                    <a:lnTo>
                      <a:pt x="267" y="178"/>
                    </a:lnTo>
                    <a:lnTo>
                      <a:pt x="267" y="178"/>
                    </a:lnTo>
                    <a:lnTo>
                      <a:pt x="267" y="169"/>
                    </a:lnTo>
                    <a:lnTo>
                      <a:pt x="267" y="169"/>
                    </a:lnTo>
                    <a:lnTo>
                      <a:pt x="267" y="169"/>
                    </a:lnTo>
                    <a:lnTo>
                      <a:pt x="267" y="169"/>
                    </a:lnTo>
                    <a:lnTo>
                      <a:pt x="259" y="169"/>
                    </a:lnTo>
                    <a:lnTo>
                      <a:pt x="259" y="160"/>
                    </a:lnTo>
                    <a:lnTo>
                      <a:pt x="259" y="160"/>
                    </a:lnTo>
                    <a:lnTo>
                      <a:pt x="259" y="160"/>
                    </a:lnTo>
                    <a:lnTo>
                      <a:pt x="259" y="160"/>
                    </a:lnTo>
                    <a:lnTo>
                      <a:pt x="259" y="160"/>
                    </a:lnTo>
                    <a:lnTo>
                      <a:pt x="259" y="160"/>
                    </a:lnTo>
                    <a:lnTo>
                      <a:pt x="250" y="160"/>
                    </a:lnTo>
                    <a:lnTo>
                      <a:pt x="250" y="160"/>
                    </a:lnTo>
                    <a:lnTo>
                      <a:pt x="250" y="160"/>
                    </a:lnTo>
                    <a:lnTo>
                      <a:pt x="250" y="160"/>
                    </a:lnTo>
                    <a:lnTo>
                      <a:pt x="241" y="160"/>
                    </a:lnTo>
                    <a:lnTo>
                      <a:pt x="241" y="160"/>
                    </a:lnTo>
                    <a:lnTo>
                      <a:pt x="241" y="160"/>
                    </a:lnTo>
                    <a:lnTo>
                      <a:pt x="232" y="160"/>
                    </a:lnTo>
                    <a:lnTo>
                      <a:pt x="232" y="160"/>
                    </a:lnTo>
                    <a:lnTo>
                      <a:pt x="232" y="160"/>
                    </a:lnTo>
                    <a:lnTo>
                      <a:pt x="232" y="160"/>
                    </a:lnTo>
                    <a:lnTo>
                      <a:pt x="223" y="160"/>
                    </a:lnTo>
                    <a:lnTo>
                      <a:pt x="223" y="160"/>
                    </a:lnTo>
                    <a:lnTo>
                      <a:pt x="223" y="160"/>
                    </a:lnTo>
                    <a:lnTo>
                      <a:pt x="223" y="169"/>
                    </a:lnTo>
                    <a:lnTo>
                      <a:pt x="223" y="169"/>
                    </a:lnTo>
                    <a:lnTo>
                      <a:pt x="223" y="169"/>
                    </a:lnTo>
                    <a:lnTo>
                      <a:pt x="223" y="169"/>
                    </a:lnTo>
                    <a:lnTo>
                      <a:pt x="214" y="169"/>
                    </a:lnTo>
                    <a:lnTo>
                      <a:pt x="214" y="169"/>
                    </a:lnTo>
                    <a:lnTo>
                      <a:pt x="214" y="169"/>
                    </a:lnTo>
                    <a:lnTo>
                      <a:pt x="214" y="169"/>
                    </a:lnTo>
                    <a:lnTo>
                      <a:pt x="205" y="169"/>
                    </a:lnTo>
                    <a:lnTo>
                      <a:pt x="205" y="169"/>
                    </a:lnTo>
                    <a:lnTo>
                      <a:pt x="205" y="169"/>
                    </a:lnTo>
                    <a:lnTo>
                      <a:pt x="196" y="169"/>
                    </a:lnTo>
                    <a:lnTo>
                      <a:pt x="196" y="169"/>
                    </a:lnTo>
                    <a:lnTo>
                      <a:pt x="196" y="169"/>
                    </a:lnTo>
                    <a:lnTo>
                      <a:pt x="196" y="169"/>
                    </a:lnTo>
                    <a:lnTo>
                      <a:pt x="187" y="169"/>
                    </a:lnTo>
                    <a:lnTo>
                      <a:pt x="187" y="169"/>
                    </a:lnTo>
                    <a:lnTo>
                      <a:pt x="187" y="169"/>
                    </a:lnTo>
                    <a:lnTo>
                      <a:pt x="187" y="169"/>
                    </a:lnTo>
                    <a:lnTo>
                      <a:pt x="187" y="178"/>
                    </a:lnTo>
                    <a:lnTo>
                      <a:pt x="187" y="178"/>
                    </a:lnTo>
                    <a:lnTo>
                      <a:pt x="187" y="178"/>
                    </a:lnTo>
                    <a:lnTo>
                      <a:pt x="187" y="178"/>
                    </a:lnTo>
                    <a:lnTo>
                      <a:pt x="187" y="187"/>
                    </a:lnTo>
                    <a:lnTo>
                      <a:pt x="187" y="187"/>
                    </a:lnTo>
                    <a:lnTo>
                      <a:pt x="187" y="187"/>
                    </a:lnTo>
                    <a:lnTo>
                      <a:pt x="178" y="196"/>
                    </a:lnTo>
                    <a:lnTo>
                      <a:pt x="178" y="196"/>
                    </a:lnTo>
                    <a:lnTo>
                      <a:pt x="178" y="196"/>
                    </a:lnTo>
                    <a:lnTo>
                      <a:pt x="178" y="196"/>
                    </a:lnTo>
                    <a:lnTo>
                      <a:pt x="178" y="196"/>
                    </a:lnTo>
                    <a:lnTo>
                      <a:pt x="178" y="196"/>
                    </a:lnTo>
                    <a:lnTo>
                      <a:pt x="178" y="205"/>
                    </a:lnTo>
                    <a:lnTo>
                      <a:pt x="178" y="205"/>
                    </a:lnTo>
                    <a:lnTo>
                      <a:pt x="178" y="205"/>
                    </a:lnTo>
                    <a:lnTo>
                      <a:pt x="169" y="205"/>
                    </a:lnTo>
                    <a:lnTo>
                      <a:pt x="169" y="205"/>
                    </a:lnTo>
                    <a:lnTo>
                      <a:pt x="169" y="205"/>
                    </a:lnTo>
                    <a:lnTo>
                      <a:pt x="169" y="214"/>
                    </a:lnTo>
                    <a:lnTo>
                      <a:pt x="169" y="214"/>
                    </a:lnTo>
                    <a:lnTo>
                      <a:pt x="169" y="214"/>
                    </a:lnTo>
                    <a:lnTo>
                      <a:pt x="169" y="214"/>
                    </a:lnTo>
                    <a:lnTo>
                      <a:pt x="169" y="223"/>
                    </a:lnTo>
                    <a:lnTo>
                      <a:pt x="169" y="223"/>
                    </a:lnTo>
                    <a:lnTo>
                      <a:pt x="169" y="223"/>
                    </a:lnTo>
                    <a:lnTo>
                      <a:pt x="169" y="232"/>
                    </a:lnTo>
                    <a:lnTo>
                      <a:pt x="169" y="232"/>
                    </a:lnTo>
                    <a:lnTo>
                      <a:pt x="169" y="241"/>
                    </a:lnTo>
                    <a:lnTo>
                      <a:pt x="169" y="241"/>
                    </a:lnTo>
                    <a:lnTo>
                      <a:pt x="169" y="250"/>
                    </a:lnTo>
                    <a:lnTo>
                      <a:pt x="169" y="250"/>
                    </a:lnTo>
                    <a:lnTo>
                      <a:pt x="169" y="259"/>
                    </a:lnTo>
                    <a:lnTo>
                      <a:pt x="169" y="259"/>
                    </a:lnTo>
                    <a:lnTo>
                      <a:pt x="169" y="259"/>
                    </a:lnTo>
                    <a:lnTo>
                      <a:pt x="169" y="267"/>
                    </a:lnTo>
                    <a:lnTo>
                      <a:pt x="178" y="267"/>
                    </a:lnTo>
                    <a:lnTo>
                      <a:pt x="178" y="267"/>
                    </a:lnTo>
                    <a:lnTo>
                      <a:pt x="178" y="267"/>
                    </a:lnTo>
                    <a:lnTo>
                      <a:pt x="178" y="267"/>
                    </a:lnTo>
                    <a:lnTo>
                      <a:pt x="178" y="276"/>
                    </a:lnTo>
                    <a:lnTo>
                      <a:pt x="178" y="276"/>
                    </a:lnTo>
                    <a:lnTo>
                      <a:pt x="178" y="285"/>
                    </a:lnTo>
                    <a:lnTo>
                      <a:pt x="178" y="285"/>
                    </a:lnTo>
                    <a:lnTo>
                      <a:pt x="178" y="285"/>
                    </a:lnTo>
                    <a:lnTo>
                      <a:pt x="178" y="294"/>
                    </a:lnTo>
                    <a:lnTo>
                      <a:pt x="178" y="294"/>
                    </a:lnTo>
                    <a:lnTo>
                      <a:pt x="178" y="303"/>
                    </a:lnTo>
                    <a:lnTo>
                      <a:pt x="178" y="303"/>
                    </a:lnTo>
                    <a:lnTo>
                      <a:pt x="178" y="303"/>
                    </a:lnTo>
                    <a:lnTo>
                      <a:pt x="178" y="312"/>
                    </a:lnTo>
                    <a:lnTo>
                      <a:pt x="178" y="312"/>
                    </a:lnTo>
                    <a:lnTo>
                      <a:pt x="178" y="321"/>
                    </a:lnTo>
                    <a:lnTo>
                      <a:pt x="178" y="321"/>
                    </a:lnTo>
                    <a:lnTo>
                      <a:pt x="178" y="330"/>
                    </a:lnTo>
                    <a:lnTo>
                      <a:pt x="178" y="330"/>
                    </a:lnTo>
                    <a:lnTo>
                      <a:pt x="178" y="330"/>
                    </a:lnTo>
                    <a:lnTo>
                      <a:pt x="169" y="339"/>
                    </a:lnTo>
                    <a:lnTo>
                      <a:pt x="169" y="339"/>
                    </a:lnTo>
                    <a:lnTo>
                      <a:pt x="169" y="339"/>
                    </a:lnTo>
                    <a:lnTo>
                      <a:pt x="169" y="339"/>
                    </a:lnTo>
                    <a:lnTo>
                      <a:pt x="160" y="339"/>
                    </a:lnTo>
                    <a:lnTo>
                      <a:pt x="160" y="339"/>
                    </a:lnTo>
                    <a:lnTo>
                      <a:pt x="160" y="330"/>
                    </a:lnTo>
                    <a:lnTo>
                      <a:pt x="160" y="330"/>
                    </a:lnTo>
                    <a:lnTo>
                      <a:pt x="151" y="330"/>
                    </a:lnTo>
                    <a:lnTo>
                      <a:pt x="151" y="330"/>
                    </a:lnTo>
                    <a:lnTo>
                      <a:pt x="151" y="330"/>
                    </a:lnTo>
                    <a:lnTo>
                      <a:pt x="142" y="330"/>
                    </a:lnTo>
                    <a:lnTo>
                      <a:pt x="142" y="330"/>
                    </a:lnTo>
                    <a:lnTo>
                      <a:pt x="142" y="330"/>
                    </a:lnTo>
                    <a:lnTo>
                      <a:pt x="142" y="330"/>
                    </a:lnTo>
                    <a:lnTo>
                      <a:pt x="134" y="339"/>
                    </a:lnTo>
                    <a:lnTo>
                      <a:pt x="134" y="339"/>
                    </a:lnTo>
                    <a:lnTo>
                      <a:pt x="134" y="339"/>
                    </a:lnTo>
                    <a:lnTo>
                      <a:pt x="134" y="339"/>
                    </a:lnTo>
                    <a:lnTo>
                      <a:pt x="134" y="348"/>
                    </a:lnTo>
                    <a:lnTo>
                      <a:pt x="134" y="348"/>
                    </a:lnTo>
                    <a:lnTo>
                      <a:pt x="134" y="348"/>
                    </a:lnTo>
                    <a:lnTo>
                      <a:pt x="134" y="348"/>
                    </a:lnTo>
                    <a:lnTo>
                      <a:pt x="134" y="357"/>
                    </a:lnTo>
                    <a:lnTo>
                      <a:pt x="134" y="357"/>
                    </a:lnTo>
                    <a:lnTo>
                      <a:pt x="134" y="357"/>
                    </a:lnTo>
                    <a:lnTo>
                      <a:pt x="134" y="366"/>
                    </a:lnTo>
                    <a:lnTo>
                      <a:pt x="134" y="366"/>
                    </a:lnTo>
                    <a:lnTo>
                      <a:pt x="134" y="375"/>
                    </a:lnTo>
                    <a:lnTo>
                      <a:pt x="134" y="375"/>
                    </a:lnTo>
                    <a:lnTo>
                      <a:pt x="134" y="375"/>
                    </a:lnTo>
                    <a:lnTo>
                      <a:pt x="134" y="384"/>
                    </a:lnTo>
                    <a:lnTo>
                      <a:pt x="134" y="384"/>
                    </a:lnTo>
                    <a:lnTo>
                      <a:pt x="134" y="392"/>
                    </a:lnTo>
                    <a:lnTo>
                      <a:pt x="134" y="392"/>
                    </a:lnTo>
                    <a:lnTo>
                      <a:pt x="142" y="401"/>
                    </a:lnTo>
                    <a:lnTo>
                      <a:pt x="142" y="401"/>
                    </a:lnTo>
                    <a:lnTo>
                      <a:pt x="142" y="401"/>
                    </a:lnTo>
                    <a:lnTo>
                      <a:pt x="142" y="410"/>
                    </a:lnTo>
                    <a:lnTo>
                      <a:pt x="142" y="410"/>
                    </a:lnTo>
                    <a:lnTo>
                      <a:pt x="134" y="410"/>
                    </a:lnTo>
                    <a:lnTo>
                      <a:pt x="134" y="410"/>
                    </a:lnTo>
                    <a:lnTo>
                      <a:pt x="134" y="419"/>
                    </a:lnTo>
                    <a:lnTo>
                      <a:pt x="134" y="419"/>
                    </a:lnTo>
                    <a:lnTo>
                      <a:pt x="134" y="419"/>
                    </a:lnTo>
                    <a:lnTo>
                      <a:pt x="134" y="419"/>
                    </a:lnTo>
                    <a:lnTo>
                      <a:pt x="134" y="419"/>
                    </a:lnTo>
                    <a:lnTo>
                      <a:pt x="134" y="419"/>
                    </a:lnTo>
                    <a:lnTo>
                      <a:pt x="125" y="419"/>
                    </a:lnTo>
                    <a:lnTo>
                      <a:pt x="125" y="419"/>
                    </a:lnTo>
                    <a:lnTo>
                      <a:pt x="125" y="419"/>
                    </a:lnTo>
                    <a:lnTo>
                      <a:pt x="125" y="419"/>
                    </a:lnTo>
                    <a:lnTo>
                      <a:pt x="116" y="419"/>
                    </a:lnTo>
                    <a:lnTo>
                      <a:pt x="116" y="419"/>
                    </a:lnTo>
                    <a:lnTo>
                      <a:pt x="116" y="419"/>
                    </a:lnTo>
                    <a:lnTo>
                      <a:pt x="116" y="428"/>
                    </a:lnTo>
                    <a:lnTo>
                      <a:pt x="116" y="428"/>
                    </a:lnTo>
                    <a:lnTo>
                      <a:pt x="116" y="428"/>
                    </a:lnTo>
                    <a:lnTo>
                      <a:pt x="116" y="428"/>
                    </a:lnTo>
                    <a:lnTo>
                      <a:pt x="116" y="428"/>
                    </a:lnTo>
                    <a:lnTo>
                      <a:pt x="107" y="428"/>
                    </a:lnTo>
                    <a:lnTo>
                      <a:pt x="107" y="428"/>
                    </a:lnTo>
                    <a:lnTo>
                      <a:pt x="107" y="437"/>
                    </a:lnTo>
                    <a:lnTo>
                      <a:pt x="107" y="437"/>
                    </a:lnTo>
                    <a:lnTo>
                      <a:pt x="107" y="437"/>
                    </a:lnTo>
                    <a:lnTo>
                      <a:pt x="107" y="437"/>
                    </a:lnTo>
                    <a:lnTo>
                      <a:pt x="107" y="437"/>
                    </a:lnTo>
                    <a:lnTo>
                      <a:pt x="107" y="437"/>
                    </a:lnTo>
                    <a:lnTo>
                      <a:pt x="98" y="437"/>
                    </a:lnTo>
                    <a:lnTo>
                      <a:pt x="98" y="437"/>
                    </a:lnTo>
                    <a:lnTo>
                      <a:pt x="98" y="437"/>
                    </a:lnTo>
                    <a:lnTo>
                      <a:pt x="98" y="437"/>
                    </a:lnTo>
                    <a:lnTo>
                      <a:pt x="98" y="437"/>
                    </a:lnTo>
                    <a:lnTo>
                      <a:pt x="98" y="446"/>
                    </a:lnTo>
                    <a:lnTo>
                      <a:pt x="98" y="446"/>
                    </a:lnTo>
                    <a:lnTo>
                      <a:pt x="89" y="455"/>
                    </a:lnTo>
                    <a:lnTo>
                      <a:pt x="89" y="455"/>
                    </a:lnTo>
                    <a:lnTo>
                      <a:pt x="89" y="455"/>
                    </a:lnTo>
                    <a:lnTo>
                      <a:pt x="89" y="464"/>
                    </a:lnTo>
                    <a:lnTo>
                      <a:pt x="89" y="464"/>
                    </a:lnTo>
                    <a:lnTo>
                      <a:pt x="89" y="464"/>
                    </a:lnTo>
                    <a:lnTo>
                      <a:pt x="89" y="473"/>
                    </a:lnTo>
                    <a:lnTo>
                      <a:pt x="89" y="473"/>
                    </a:lnTo>
                    <a:lnTo>
                      <a:pt x="89" y="473"/>
                    </a:lnTo>
                    <a:lnTo>
                      <a:pt x="89" y="482"/>
                    </a:lnTo>
                    <a:lnTo>
                      <a:pt x="89" y="482"/>
                    </a:lnTo>
                    <a:lnTo>
                      <a:pt x="89" y="482"/>
                    </a:lnTo>
                    <a:lnTo>
                      <a:pt x="89" y="491"/>
                    </a:lnTo>
                    <a:lnTo>
                      <a:pt x="89" y="491"/>
                    </a:lnTo>
                    <a:lnTo>
                      <a:pt x="89" y="491"/>
                    </a:lnTo>
                    <a:lnTo>
                      <a:pt x="89" y="491"/>
                    </a:lnTo>
                    <a:lnTo>
                      <a:pt x="89" y="500"/>
                    </a:lnTo>
                    <a:lnTo>
                      <a:pt x="80" y="500"/>
                    </a:lnTo>
                    <a:lnTo>
                      <a:pt x="80" y="500"/>
                    </a:lnTo>
                    <a:lnTo>
                      <a:pt x="80" y="500"/>
                    </a:lnTo>
                    <a:lnTo>
                      <a:pt x="80" y="500"/>
                    </a:lnTo>
                    <a:lnTo>
                      <a:pt x="80" y="500"/>
                    </a:lnTo>
                    <a:lnTo>
                      <a:pt x="71" y="500"/>
                    </a:lnTo>
                    <a:lnTo>
                      <a:pt x="71" y="500"/>
                    </a:lnTo>
                    <a:lnTo>
                      <a:pt x="71" y="500"/>
                    </a:lnTo>
                    <a:lnTo>
                      <a:pt x="62" y="500"/>
                    </a:lnTo>
                    <a:lnTo>
                      <a:pt x="62" y="500"/>
                    </a:lnTo>
                    <a:lnTo>
                      <a:pt x="53" y="500"/>
                    </a:lnTo>
                    <a:lnTo>
                      <a:pt x="53" y="500"/>
                    </a:lnTo>
                    <a:lnTo>
                      <a:pt x="53" y="500"/>
                    </a:lnTo>
                    <a:lnTo>
                      <a:pt x="53" y="500"/>
                    </a:lnTo>
                    <a:lnTo>
                      <a:pt x="44" y="500"/>
                    </a:lnTo>
                    <a:lnTo>
                      <a:pt x="44" y="500"/>
                    </a:lnTo>
                    <a:lnTo>
                      <a:pt x="44" y="500"/>
                    </a:lnTo>
                    <a:lnTo>
                      <a:pt x="44" y="500"/>
                    </a:lnTo>
                    <a:lnTo>
                      <a:pt x="44" y="491"/>
                    </a:lnTo>
                    <a:lnTo>
                      <a:pt x="35" y="491"/>
                    </a:lnTo>
                    <a:lnTo>
                      <a:pt x="35" y="491"/>
                    </a:lnTo>
                    <a:lnTo>
                      <a:pt x="35" y="491"/>
                    </a:lnTo>
                    <a:lnTo>
                      <a:pt x="26" y="491"/>
                    </a:lnTo>
                    <a:lnTo>
                      <a:pt x="26" y="491"/>
                    </a:lnTo>
                    <a:lnTo>
                      <a:pt x="26" y="491"/>
                    </a:lnTo>
                    <a:lnTo>
                      <a:pt x="17" y="491"/>
                    </a:lnTo>
                    <a:lnTo>
                      <a:pt x="17" y="491"/>
                    </a:lnTo>
                    <a:lnTo>
                      <a:pt x="17" y="491"/>
                    </a:lnTo>
                  </a:path>
                </a:pathLst>
              </a:custGeom>
              <a:solidFill>
                <a:schemeClr val="tx2">
                  <a:lumMod val="20000"/>
                  <a:lumOff val="80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47" name="Freeform 54">
                <a:extLst>
                  <a:ext uri="{FF2B5EF4-FFF2-40B4-BE49-F238E27FC236}">
                    <a16:creationId xmlns:a16="http://schemas.microsoft.com/office/drawing/2014/main" id="{9B51D1DC-E9D4-4C4C-92E0-F0A08EFE02D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4203" y="4762"/>
                <a:ext cx="1467" cy="1653"/>
              </a:xfrm>
              <a:custGeom>
                <a:avLst/>
                <a:gdLst>
                  <a:gd name="T0" fmla="*/ 384 w 661"/>
                  <a:gd name="T1" fmla="*/ 197 h 697"/>
                  <a:gd name="T2" fmla="*/ 384 w 661"/>
                  <a:gd name="T3" fmla="*/ 179 h 697"/>
                  <a:gd name="T4" fmla="*/ 402 w 661"/>
                  <a:gd name="T5" fmla="*/ 161 h 697"/>
                  <a:gd name="T6" fmla="*/ 420 w 661"/>
                  <a:gd name="T7" fmla="*/ 134 h 697"/>
                  <a:gd name="T8" fmla="*/ 447 w 661"/>
                  <a:gd name="T9" fmla="*/ 81 h 697"/>
                  <a:gd name="T10" fmla="*/ 447 w 661"/>
                  <a:gd name="T11" fmla="*/ 36 h 697"/>
                  <a:gd name="T12" fmla="*/ 456 w 661"/>
                  <a:gd name="T13" fmla="*/ 9 h 697"/>
                  <a:gd name="T14" fmla="*/ 474 w 661"/>
                  <a:gd name="T15" fmla="*/ 18 h 697"/>
                  <a:gd name="T16" fmla="*/ 491 w 661"/>
                  <a:gd name="T17" fmla="*/ 36 h 697"/>
                  <a:gd name="T18" fmla="*/ 509 w 661"/>
                  <a:gd name="T19" fmla="*/ 63 h 697"/>
                  <a:gd name="T20" fmla="*/ 509 w 661"/>
                  <a:gd name="T21" fmla="*/ 90 h 697"/>
                  <a:gd name="T22" fmla="*/ 509 w 661"/>
                  <a:gd name="T23" fmla="*/ 107 h 697"/>
                  <a:gd name="T24" fmla="*/ 491 w 661"/>
                  <a:gd name="T25" fmla="*/ 116 h 697"/>
                  <a:gd name="T26" fmla="*/ 482 w 661"/>
                  <a:gd name="T27" fmla="*/ 134 h 697"/>
                  <a:gd name="T28" fmla="*/ 474 w 661"/>
                  <a:gd name="T29" fmla="*/ 179 h 697"/>
                  <a:gd name="T30" fmla="*/ 500 w 661"/>
                  <a:gd name="T31" fmla="*/ 197 h 697"/>
                  <a:gd name="T32" fmla="*/ 527 w 661"/>
                  <a:gd name="T33" fmla="*/ 206 h 697"/>
                  <a:gd name="T34" fmla="*/ 545 w 661"/>
                  <a:gd name="T35" fmla="*/ 232 h 697"/>
                  <a:gd name="T36" fmla="*/ 563 w 661"/>
                  <a:gd name="T37" fmla="*/ 241 h 697"/>
                  <a:gd name="T38" fmla="*/ 572 w 661"/>
                  <a:gd name="T39" fmla="*/ 286 h 697"/>
                  <a:gd name="T40" fmla="*/ 599 w 661"/>
                  <a:gd name="T41" fmla="*/ 304 h 697"/>
                  <a:gd name="T42" fmla="*/ 625 w 661"/>
                  <a:gd name="T43" fmla="*/ 313 h 697"/>
                  <a:gd name="T44" fmla="*/ 652 w 661"/>
                  <a:gd name="T45" fmla="*/ 322 h 697"/>
                  <a:gd name="T46" fmla="*/ 643 w 661"/>
                  <a:gd name="T47" fmla="*/ 348 h 697"/>
                  <a:gd name="T48" fmla="*/ 643 w 661"/>
                  <a:gd name="T49" fmla="*/ 384 h 697"/>
                  <a:gd name="T50" fmla="*/ 652 w 661"/>
                  <a:gd name="T51" fmla="*/ 411 h 697"/>
                  <a:gd name="T52" fmla="*/ 661 w 661"/>
                  <a:gd name="T53" fmla="*/ 429 h 697"/>
                  <a:gd name="T54" fmla="*/ 661 w 661"/>
                  <a:gd name="T55" fmla="*/ 438 h 697"/>
                  <a:gd name="T56" fmla="*/ 652 w 661"/>
                  <a:gd name="T57" fmla="*/ 447 h 697"/>
                  <a:gd name="T58" fmla="*/ 625 w 661"/>
                  <a:gd name="T59" fmla="*/ 447 h 697"/>
                  <a:gd name="T60" fmla="*/ 634 w 661"/>
                  <a:gd name="T61" fmla="*/ 465 h 697"/>
                  <a:gd name="T62" fmla="*/ 616 w 661"/>
                  <a:gd name="T63" fmla="*/ 474 h 697"/>
                  <a:gd name="T64" fmla="*/ 590 w 661"/>
                  <a:gd name="T65" fmla="*/ 482 h 697"/>
                  <a:gd name="T66" fmla="*/ 563 w 661"/>
                  <a:gd name="T67" fmla="*/ 491 h 697"/>
                  <a:gd name="T68" fmla="*/ 536 w 661"/>
                  <a:gd name="T69" fmla="*/ 491 h 697"/>
                  <a:gd name="T70" fmla="*/ 527 w 661"/>
                  <a:gd name="T71" fmla="*/ 509 h 697"/>
                  <a:gd name="T72" fmla="*/ 509 w 661"/>
                  <a:gd name="T73" fmla="*/ 527 h 697"/>
                  <a:gd name="T74" fmla="*/ 500 w 661"/>
                  <a:gd name="T75" fmla="*/ 527 h 697"/>
                  <a:gd name="T76" fmla="*/ 482 w 661"/>
                  <a:gd name="T77" fmla="*/ 518 h 697"/>
                  <a:gd name="T78" fmla="*/ 402 w 661"/>
                  <a:gd name="T79" fmla="*/ 536 h 697"/>
                  <a:gd name="T80" fmla="*/ 402 w 661"/>
                  <a:gd name="T81" fmla="*/ 643 h 697"/>
                  <a:gd name="T82" fmla="*/ 286 w 661"/>
                  <a:gd name="T83" fmla="*/ 652 h 697"/>
                  <a:gd name="T84" fmla="*/ 268 w 661"/>
                  <a:gd name="T85" fmla="*/ 634 h 697"/>
                  <a:gd name="T86" fmla="*/ 259 w 661"/>
                  <a:gd name="T87" fmla="*/ 581 h 697"/>
                  <a:gd name="T88" fmla="*/ 206 w 661"/>
                  <a:gd name="T89" fmla="*/ 634 h 697"/>
                  <a:gd name="T90" fmla="*/ 72 w 661"/>
                  <a:gd name="T91" fmla="*/ 679 h 697"/>
                  <a:gd name="T92" fmla="*/ 18 w 661"/>
                  <a:gd name="T93" fmla="*/ 527 h 697"/>
                  <a:gd name="T94" fmla="*/ 18 w 661"/>
                  <a:gd name="T95" fmla="*/ 482 h 697"/>
                  <a:gd name="T96" fmla="*/ 45 w 661"/>
                  <a:gd name="T97" fmla="*/ 465 h 697"/>
                  <a:gd name="T98" fmla="*/ 54 w 661"/>
                  <a:gd name="T99" fmla="*/ 447 h 697"/>
                  <a:gd name="T100" fmla="*/ 98 w 661"/>
                  <a:gd name="T101" fmla="*/ 438 h 697"/>
                  <a:gd name="T102" fmla="*/ 134 w 661"/>
                  <a:gd name="T103" fmla="*/ 438 h 697"/>
                  <a:gd name="T104" fmla="*/ 152 w 661"/>
                  <a:gd name="T105" fmla="*/ 438 h 697"/>
                  <a:gd name="T106" fmla="*/ 206 w 661"/>
                  <a:gd name="T107" fmla="*/ 438 h 697"/>
                  <a:gd name="T108" fmla="*/ 295 w 661"/>
                  <a:gd name="T109" fmla="*/ 393 h 697"/>
                  <a:gd name="T110" fmla="*/ 340 w 661"/>
                  <a:gd name="T111" fmla="*/ 331 h 697"/>
                  <a:gd name="T112" fmla="*/ 393 w 661"/>
                  <a:gd name="T113" fmla="*/ 259 h 69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</a:cxnLst>
                <a:rect l="0" t="0" r="r" b="b"/>
                <a:pathLst>
                  <a:path w="661" h="697">
                    <a:moveTo>
                      <a:pt x="375" y="197"/>
                    </a:moveTo>
                    <a:lnTo>
                      <a:pt x="375" y="197"/>
                    </a:lnTo>
                    <a:lnTo>
                      <a:pt x="375" y="197"/>
                    </a:lnTo>
                    <a:lnTo>
                      <a:pt x="375" y="197"/>
                    </a:lnTo>
                    <a:lnTo>
                      <a:pt x="375" y="197"/>
                    </a:lnTo>
                    <a:lnTo>
                      <a:pt x="375" y="197"/>
                    </a:lnTo>
                    <a:lnTo>
                      <a:pt x="375" y="197"/>
                    </a:lnTo>
                    <a:lnTo>
                      <a:pt x="384" y="197"/>
                    </a:lnTo>
                    <a:lnTo>
                      <a:pt x="384" y="197"/>
                    </a:lnTo>
                    <a:lnTo>
                      <a:pt x="384" y="188"/>
                    </a:lnTo>
                    <a:lnTo>
                      <a:pt x="384" y="188"/>
                    </a:lnTo>
                    <a:lnTo>
                      <a:pt x="384" y="188"/>
                    </a:lnTo>
                    <a:lnTo>
                      <a:pt x="384" y="188"/>
                    </a:lnTo>
                    <a:lnTo>
                      <a:pt x="384" y="179"/>
                    </a:lnTo>
                    <a:lnTo>
                      <a:pt x="384" y="179"/>
                    </a:lnTo>
                    <a:lnTo>
                      <a:pt x="384" y="179"/>
                    </a:lnTo>
                    <a:lnTo>
                      <a:pt x="384" y="179"/>
                    </a:lnTo>
                    <a:lnTo>
                      <a:pt x="384" y="170"/>
                    </a:lnTo>
                    <a:lnTo>
                      <a:pt x="384" y="170"/>
                    </a:lnTo>
                    <a:lnTo>
                      <a:pt x="393" y="170"/>
                    </a:lnTo>
                    <a:lnTo>
                      <a:pt x="393" y="170"/>
                    </a:lnTo>
                    <a:lnTo>
                      <a:pt x="393" y="170"/>
                    </a:lnTo>
                    <a:lnTo>
                      <a:pt x="402" y="161"/>
                    </a:lnTo>
                    <a:lnTo>
                      <a:pt x="402" y="161"/>
                    </a:lnTo>
                    <a:lnTo>
                      <a:pt x="402" y="161"/>
                    </a:lnTo>
                    <a:lnTo>
                      <a:pt x="402" y="152"/>
                    </a:lnTo>
                    <a:lnTo>
                      <a:pt x="411" y="152"/>
                    </a:lnTo>
                    <a:lnTo>
                      <a:pt x="411" y="152"/>
                    </a:lnTo>
                    <a:lnTo>
                      <a:pt x="411" y="143"/>
                    </a:lnTo>
                    <a:lnTo>
                      <a:pt x="420" y="143"/>
                    </a:lnTo>
                    <a:lnTo>
                      <a:pt x="420" y="134"/>
                    </a:lnTo>
                    <a:lnTo>
                      <a:pt x="420" y="134"/>
                    </a:lnTo>
                    <a:lnTo>
                      <a:pt x="429" y="125"/>
                    </a:lnTo>
                    <a:lnTo>
                      <a:pt x="429" y="125"/>
                    </a:lnTo>
                    <a:lnTo>
                      <a:pt x="429" y="116"/>
                    </a:lnTo>
                    <a:lnTo>
                      <a:pt x="438" y="107"/>
                    </a:lnTo>
                    <a:lnTo>
                      <a:pt x="438" y="107"/>
                    </a:lnTo>
                    <a:lnTo>
                      <a:pt x="438" y="98"/>
                    </a:lnTo>
                    <a:lnTo>
                      <a:pt x="438" y="90"/>
                    </a:lnTo>
                    <a:lnTo>
                      <a:pt x="447" y="81"/>
                    </a:lnTo>
                    <a:lnTo>
                      <a:pt x="447" y="81"/>
                    </a:lnTo>
                    <a:lnTo>
                      <a:pt x="447" y="72"/>
                    </a:lnTo>
                    <a:lnTo>
                      <a:pt x="447" y="63"/>
                    </a:lnTo>
                    <a:lnTo>
                      <a:pt x="447" y="63"/>
                    </a:lnTo>
                    <a:lnTo>
                      <a:pt x="447" y="54"/>
                    </a:lnTo>
                    <a:lnTo>
                      <a:pt x="447" y="45"/>
                    </a:lnTo>
                    <a:lnTo>
                      <a:pt x="447" y="45"/>
                    </a:lnTo>
                    <a:lnTo>
                      <a:pt x="447" y="36"/>
                    </a:lnTo>
                    <a:lnTo>
                      <a:pt x="447" y="27"/>
                    </a:lnTo>
                    <a:lnTo>
                      <a:pt x="447" y="27"/>
                    </a:lnTo>
                    <a:lnTo>
                      <a:pt x="447" y="27"/>
                    </a:lnTo>
                    <a:lnTo>
                      <a:pt x="447" y="18"/>
                    </a:lnTo>
                    <a:lnTo>
                      <a:pt x="447" y="18"/>
                    </a:lnTo>
                    <a:lnTo>
                      <a:pt x="447" y="9"/>
                    </a:lnTo>
                    <a:lnTo>
                      <a:pt x="456" y="9"/>
                    </a:lnTo>
                    <a:lnTo>
                      <a:pt x="456" y="9"/>
                    </a:lnTo>
                    <a:lnTo>
                      <a:pt x="456" y="0"/>
                    </a:lnTo>
                    <a:lnTo>
                      <a:pt x="456" y="9"/>
                    </a:lnTo>
                    <a:lnTo>
                      <a:pt x="465" y="9"/>
                    </a:lnTo>
                    <a:lnTo>
                      <a:pt x="465" y="9"/>
                    </a:lnTo>
                    <a:lnTo>
                      <a:pt x="465" y="9"/>
                    </a:lnTo>
                    <a:lnTo>
                      <a:pt x="465" y="9"/>
                    </a:lnTo>
                    <a:lnTo>
                      <a:pt x="474" y="9"/>
                    </a:lnTo>
                    <a:lnTo>
                      <a:pt x="474" y="18"/>
                    </a:lnTo>
                    <a:lnTo>
                      <a:pt x="474" y="18"/>
                    </a:lnTo>
                    <a:lnTo>
                      <a:pt x="482" y="18"/>
                    </a:lnTo>
                    <a:lnTo>
                      <a:pt x="482" y="27"/>
                    </a:lnTo>
                    <a:lnTo>
                      <a:pt x="482" y="27"/>
                    </a:lnTo>
                    <a:lnTo>
                      <a:pt x="482" y="27"/>
                    </a:lnTo>
                    <a:lnTo>
                      <a:pt x="491" y="36"/>
                    </a:lnTo>
                    <a:lnTo>
                      <a:pt x="491" y="36"/>
                    </a:lnTo>
                    <a:lnTo>
                      <a:pt x="491" y="36"/>
                    </a:lnTo>
                    <a:lnTo>
                      <a:pt x="491" y="45"/>
                    </a:lnTo>
                    <a:lnTo>
                      <a:pt x="500" y="45"/>
                    </a:lnTo>
                    <a:lnTo>
                      <a:pt x="500" y="45"/>
                    </a:lnTo>
                    <a:lnTo>
                      <a:pt x="500" y="45"/>
                    </a:lnTo>
                    <a:lnTo>
                      <a:pt x="509" y="54"/>
                    </a:lnTo>
                    <a:lnTo>
                      <a:pt x="509" y="54"/>
                    </a:lnTo>
                    <a:lnTo>
                      <a:pt x="509" y="54"/>
                    </a:lnTo>
                    <a:lnTo>
                      <a:pt x="509" y="63"/>
                    </a:lnTo>
                    <a:lnTo>
                      <a:pt x="509" y="63"/>
                    </a:lnTo>
                    <a:lnTo>
                      <a:pt x="509" y="63"/>
                    </a:lnTo>
                    <a:lnTo>
                      <a:pt x="509" y="72"/>
                    </a:lnTo>
                    <a:lnTo>
                      <a:pt x="509" y="72"/>
                    </a:lnTo>
                    <a:lnTo>
                      <a:pt x="509" y="72"/>
                    </a:lnTo>
                    <a:lnTo>
                      <a:pt x="509" y="81"/>
                    </a:lnTo>
                    <a:lnTo>
                      <a:pt x="509" y="81"/>
                    </a:lnTo>
                    <a:lnTo>
                      <a:pt x="509" y="90"/>
                    </a:lnTo>
                    <a:lnTo>
                      <a:pt x="509" y="90"/>
                    </a:lnTo>
                    <a:lnTo>
                      <a:pt x="509" y="90"/>
                    </a:lnTo>
                    <a:lnTo>
                      <a:pt x="509" y="98"/>
                    </a:lnTo>
                    <a:lnTo>
                      <a:pt x="509" y="98"/>
                    </a:lnTo>
                    <a:lnTo>
                      <a:pt x="509" y="98"/>
                    </a:lnTo>
                    <a:lnTo>
                      <a:pt x="509" y="98"/>
                    </a:lnTo>
                    <a:lnTo>
                      <a:pt x="509" y="107"/>
                    </a:lnTo>
                    <a:lnTo>
                      <a:pt x="509" y="107"/>
                    </a:lnTo>
                    <a:lnTo>
                      <a:pt x="509" y="107"/>
                    </a:lnTo>
                    <a:lnTo>
                      <a:pt x="509" y="107"/>
                    </a:lnTo>
                    <a:lnTo>
                      <a:pt x="500" y="107"/>
                    </a:lnTo>
                    <a:lnTo>
                      <a:pt x="500" y="116"/>
                    </a:lnTo>
                    <a:lnTo>
                      <a:pt x="500" y="116"/>
                    </a:lnTo>
                    <a:lnTo>
                      <a:pt x="491" y="116"/>
                    </a:lnTo>
                    <a:lnTo>
                      <a:pt x="491" y="116"/>
                    </a:lnTo>
                    <a:lnTo>
                      <a:pt x="491" y="116"/>
                    </a:lnTo>
                    <a:lnTo>
                      <a:pt x="491" y="116"/>
                    </a:lnTo>
                    <a:lnTo>
                      <a:pt x="482" y="116"/>
                    </a:lnTo>
                    <a:lnTo>
                      <a:pt x="482" y="125"/>
                    </a:lnTo>
                    <a:lnTo>
                      <a:pt x="482" y="125"/>
                    </a:lnTo>
                    <a:lnTo>
                      <a:pt x="482" y="125"/>
                    </a:lnTo>
                    <a:lnTo>
                      <a:pt x="482" y="134"/>
                    </a:lnTo>
                    <a:lnTo>
                      <a:pt x="482" y="134"/>
                    </a:lnTo>
                    <a:lnTo>
                      <a:pt x="482" y="134"/>
                    </a:lnTo>
                    <a:lnTo>
                      <a:pt x="482" y="143"/>
                    </a:lnTo>
                    <a:lnTo>
                      <a:pt x="482" y="143"/>
                    </a:lnTo>
                    <a:lnTo>
                      <a:pt x="482" y="152"/>
                    </a:lnTo>
                    <a:lnTo>
                      <a:pt x="474" y="152"/>
                    </a:lnTo>
                    <a:lnTo>
                      <a:pt x="474" y="161"/>
                    </a:lnTo>
                    <a:lnTo>
                      <a:pt x="474" y="170"/>
                    </a:lnTo>
                    <a:lnTo>
                      <a:pt x="474" y="170"/>
                    </a:lnTo>
                    <a:lnTo>
                      <a:pt x="474" y="179"/>
                    </a:lnTo>
                    <a:lnTo>
                      <a:pt x="482" y="179"/>
                    </a:lnTo>
                    <a:lnTo>
                      <a:pt x="482" y="188"/>
                    </a:lnTo>
                    <a:lnTo>
                      <a:pt x="482" y="188"/>
                    </a:lnTo>
                    <a:lnTo>
                      <a:pt x="482" y="188"/>
                    </a:lnTo>
                    <a:lnTo>
                      <a:pt x="491" y="188"/>
                    </a:lnTo>
                    <a:lnTo>
                      <a:pt x="491" y="188"/>
                    </a:lnTo>
                    <a:lnTo>
                      <a:pt x="500" y="188"/>
                    </a:lnTo>
                    <a:lnTo>
                      <a:pt x="500" y="197"/>
                    </a:lnTo>
                    <a:lnTo>
                      <a:pt x="500" y="197"/>
                    </a:lnTo>
                    <a:lnTo>
                      <a:pt x="509" y="197"/>
                    </a:lnTo>
                    <a:lnTo>
                      <a:pt x="509" y="197"/>
                    </a:lnTo>
                    <a:lnTo>
                      <a:pt x="518" y="197"/>
                    </a:lnTo>
                    <a:lnTo>
                      <a:pt x="518" y="206"/>
                    </a:lnTo>
                    <a:lnTo>
                      <a:pt x="518" y="206"/>
                    </a:lnTo>
                    <a:lnTo>
                      <a:pt x="527" y="206"/>
                    </a:lnTo>
                    <a:lnTo>
                      <a:pt x="527" y="206"/>
                    </a:lnTo>
                    <a:lnTo>
                      <a:pt x="527" y="206"/>
                    </a:lnTo>
                    <a:lnTo>
                      <a:pt x="536" y="215"/>
                    </a:lnTo>
                    <a:lnTo>
                      <a:pt x="536" y="215"/>
                    </a:lnTo>
                    <a:lnTo>
                      <a:pt x="536" y="215"/>
                    </a:lnTo>
                    <a:lnTo>
                      <a:pt x="536" y="223"/>
                    </a:lnTo>
                    <a:lnTo>
                      <a:pt x="536" y="223"/>
                    </a:lnTo>
                    <a:lnTo>
                      <a:pt x="545" y="223"/>
                    </a:lnTo>
                    <a:lnTo>
                      <a:pt x="545" y="232"/>
                    </a:lnTo>
                    <a:lnTo>
                      <a:pt x="545" y="232"/>
                    </a:lnTo>
                    <a:lnTo>
                      <a:pt x="545" y="232"/>
                    </a:lnTo>
                    <a:lnTo>
                      <a:pt x="545" y="232"/>
                    </a:lnTo>
                    <a:lnTo>
                      <a:pt x="554" y="241"/>
                    </a:lnTo>
                    <a:lnTo>
                      <a:pt x="554" y="241"/>
                    </a:lnTo>
                    <a:lnTo>
                      <a:pt x="554" y="241"/>
                    </a:lnTo>
                    <a:lnTo>
                      <a:pt x="554" y="241"/>
                    </a:lnTo>
                    <a:lnTo>
                      <a:pt x="563" y="241"/>
                    </a:lnTo>
                    <a:lnTo>
                      <a:pt x="563" y="250"/>
                    </a:lnTo>
                    <a:lnTo>
                      <a:pt x="563" y="250"/>
                    </a:lnTo>
                    <a:lnTo>
                      <a:pt x="563" y="259"/>
                    </a:lnTo>
                    <a:lnTo>
                      <a:pt x="563" y="259"/>
                    </a:lnTo>
                    <a:lnTo>
                      <a:pt x="572" y="268"/>
                    </a:lnTo>
                    <a:lnTo>
                      <a:pt x="572" y="277"/>
                    </a:lnTo>
                    <a:lnTo>
                      <a:pt x="572" y="277"/>
                    </a:lnTo>
                    <a:lnTo>
                      <a:pt x="572" y="286"/>
                    </a:lnTo>
                    <a:lnTo>
                      <a:pt x="581" y="286"/>
                    </a:lnTo>
                    <a:lnTo>
                      <a:pt x="581" y="295"/>
                    </a:lnTo>
                    <a:lnTo>
                      <a:pt x="581" y="295"/>
                    </a:lnTo>
                    <a:lnTo>
                      <a:pt x="590" y="295"/>
                    </a:lnTo>
                    <a:lnTo>
                      <a:pt x="590" y="304"/>
                    </a:lnTo>
                    <a:lnTo>
                      <a:pt x="599" y="304"/>
                    </a:lnTo>
                    <a:lnTo>
                      <a:pt x="599" y="304"/>
                    </a:lnTo>
                    <a:lnTo>
                      <a:pt x="599" y="304"/>
                    </a:lnTo>
                    <a:lnTo>
                      <a:pt x="608" y="304"/>
                    </a:lnTo>
                    <a:lnTo>
                      <a:pt x="608" y="304"/>
                    </a:lnTo>
                    <a:lnTo>
                      <a:pt x="608" y="313"/>
                    </a:lnTo>
                    <a:lnTo>
                      <a:pt x="616" y="313"/>
                    </a:lnTo>
                    <a:lnTo>
                      <a:pt x="616" y="313"/>
                    </a:lnTo>
                    <a:lnTo>
                      <a:pt x="616" y="313"/>
                    </a:lnTo>
                    <a:lnTo>
                      <a:pt x="625" y="313"/>
                    </a:lnTo>
                    <a:lnTo>
                      <a:pt x="625" y="313"/>
                    </a:lnTo>
                    <a:lnTo>
                      <a:pt x="625" y="313"/>
                    </a:lnTo>
                    <a:lnTo>
                      <a:pt x="625" y="313"/>
                    </a:lnTo>
                    <a:lnTo>
                      <a:pt x="634" y="313"/>
                    </a:lnTo>
                    <a:lnTo>
                      <a:pt x="634" y="322"/>
                    </a:lnTo>
                    <a:lnTo>
                      <a:pt x="643" y="322"/>
                    </a:lnTo>
                    <a:lnTo>
                      <a:pt x="643" y="322"/>
                    </a:lnTo>
                    <a:lnTo>
                      <a:pt x="643" y="322"/>
                    </a:lnTo>
                    <a:lnTo>
                      <a:pt x="652" y="322"/>
                    </a:lnTo>
                    <a:lnTo>
                      <a:pt x="652" y="331"/>
                    </a:lnTo>
                    <a:lnTo>
                      <a:pt x="652" y="331"/>
                    </a:lnTo>
                    <a:lnTo>
                      <a:pt x="652" y="331"/>
                    </a:lnTo>
                    <a:lnTo>
                      <a:pt x="652" y="340"/>
                    </a:lnTo>
                    <a:lnTo>
                      <a:pt x="652" y="340"/>
                    </a:lnTo>
                    <a:lnTo>
                      <a:pt x="652" y="340"/>
                    </a:lnTo>
                    <a:lnTo>
                      <a:pt x="652" y="348"/>
                    </a:lnTo>
                    <a:lnTo>
                      <a:pt x="643" y="348"/>
                    </a:lnTo>
                    <a:lnTo>
                      <a:pt x="643" y="348"/>
                    </a:lnTo>
                    <a:lnTo>
                      <a:pt x="643" y="357"/>
                    </a:lnTo>
                    <a:lnTo>
                      <a:pt x="643" y="357"/>
                    </a:lnTo>
                    <a:lnTo>
                      <a:pt x="643" y="366"/>
                    </a:lnTo>
                    <a:lnTo>
                      <a:pt x="643" y="366"/>
                    </a:lnTo>
                    <a:lnTo>
                      <a:pt x="643" y="375"/>
                    </a:lnTo>
                    <a:lnTo>
                      <a:pt x="643" y="375"/>
                    </a:lnTo>
                    <a:lnTo>
                      <a:pt x="643" y="384"/>
                    </a:lnTo>
                    <a:lnTo>
                      <a:pt x="643" y="384"/>
                    </a:lnTo>
                    <a:lnTo>
                      <a:pt x="643" y="393"/>
                    </a:lnTo>
                    <a:lnTo>
                      <a:pt x="643" y="393"/>
                    </a:lnTo>
                    <a:lnTo>
                      <a:pt x="643" y="393"/>
                    </a:lnTo>
                    <a:lnTo>
                      <a:pt x="643" y="402"/>
                    </a:lnTo>
                    <a:lnTo>
                      <a:pt x="652" y="402"/>
                    </a:lnTo>
                    <a:lnTo>
                      <a:pt x="652" y="411"/>
                    </a:lnTo>
                    <a:lnTo>
                      <a:pt x="652" y="411"/>
                    </a:lnTo>
                    <a:lnTo>
                      <a:pt x="652" y="411"/>
                    </a:lnTo>
                    <a:lnTo>
                      <a:pt x="652" y="420"/>
                    </a:lnTo>
                    <a:lnTo>
                      <a:pt x="652" y="420"/>
                    </a:lnTo>
                    <a:lnTo>
                      <a:pt x="652" y="420"/>
                    </a:lnTo>
                    <a:lnTo>
                      <a:pt x="661" y="420"/>
                    </a:lnTo>
                    <a:lnTo>
                      <a:pt x="661" y="429"/>
                    </a:lnTo>
                    <a:lnTo>
                      <a:pt x="661" y="429"/>
                    </a:lnTo>
                    <a:lnTo>
                      <a:pt x="661" y="429"/>
                    </a:lnTo>
                    <a:lnTo>
                      <a:pt x="661" y="429"/>
                    </a:lnTo>
                    <a:lnTo>
                      <a:pt x="661" y="429"/>
                    </a:lnTo>
                    <a:lnTo>
                      <a:pt x="661" y="429"/>
                    </a:lnTo>
                    <a:lnTo>
                      <a:pt x="661" y="438"/>
                    </a:lnTo>
                    <a:lnTo>
                      <a:pt x="661" y="438"/>
                    </a:lnTo>
                    <a:lnTo>
                      <a:pt x="661" y="438"/>
                    </a:lnTo>
                    <a:lnTo>
                      <a:pt x="661" y="438"/>
                    </a:lnTo>
                    <a:lnTo>
                      <a:pt x="661" y="438"/>
                    </a:lnTo>
                    <a:lnTo>
                      <a:pt x="661" y="438"/>
                    </a:lnTo>
                    <a:lnTo>
                      <a:pt x="661" y="438"/>
                    </a:lnTo>
                    <a:lnTo>
                      <a:pt x="661" y="438"/>
                    </a:lnTo>
                    <a:lnTo>
                      <a:pt x="661" y="438"/>
                    </a:lnTo>
                    <a:lnTo>
                      <a:pt x="652" y="447"/>
                    </a:lnTo>
                    <a:lnTo>
                      <a:pt x="652" y="447"/>
                    </a:lnTo>
                    <a:lnTo>
                      <a:pt x="652" y="447"/>
                    </a:lnTo>
                    <a:lnTo>
                      <a:pt x="652" y="447"/>
                    </a:lnTo>
                    <a:lnTo>
                      <a:pt x="652" y="447"/>
                    </a:lnTo>
                    <a:lnTo>
                      <a:pt x="643" y="447"/>
                    </a:lnTo>
                    <a:lnTo>
                      <a:pt x="643" y="447"/>
                    </a:lnTo>
                    <a:lnTo>
                      <a:pt x="643" y="447"/>
                    </a:lnTo>
                    <a:lnTo>
                      <a:pt x="634" y="447"/>
                    </a:lnTo>
                    <a:lnTo>
                      <a:pt x="634" y="447"/>
                    </a:lnTo>
                    <a:lnTo>
                      <a:pt x="634" y="447"/>
                    </a:lnTo>
                    <a:lnTo>
                      <a:pt x="625" y="447"/>
                    </a:lnTo>
                    <a:lnTo>
                      <a:pt x="625" y="447"/>
                    </a:lnTo>
                    <a:lnTo>
                      <a:pt x="625" y="447"/>
                    </a:lnTo>
                    <a:lnTo>
                      <a:pt x="625" y="456"/>
                    </a:lnTo>
                    <a:lnTo>
                      <a:pt x="625" y="456"/>
                    </a:lnTo>
                    <a:lnTo>
                      <a:pt x="625" y="456"/>
                    </a:lnTo>
                    <a:lnTo>
                      <a:pt x="634" y="465"/>
                    </a:lnTo>
                    <a:lnTo>
                      <a:pt x="634" y="465"/>
                    </a:lnTo>
                    <a:lnTo>
                      <a:pt x="634" y="465"/>
                    </a:lnTo>
                    <a:lnTo>
                      <a:pt x="634" y="474"/>
                    </a:lnTo>
                    <a:lnTo>
                      <a:pt x="634" y="474"/>
                    </a:lnTo>
                    <a:lnTo>
                      <a:pt x="625" y="474"/>
                    </a:lnTo>
                    <a:lnTo>
                      <a:pt x="625" y="474"/>
                    </a:lnTo>
                    <a:lnTo>
                      <a:pt x="625" y="474"/>
                    </a:lnTo>
                    <a:lnTo>
                      <a:pt x="625" y="474"/>
                    </a:lnTo>
                    <a:lnTo>
                      <a:pt x="616" y="474"/>
                    </a:lnTo>
                    <a:lnTo>
                      <a:pt x="616" y="474"/>
                    </a:lnTo>
                    <a:lnTo>
                      <a:pt x="616" y="474"/>
                    </a:lnTo>
                    <a:lnTo>
                      <a:pt x="608" y="482"/>
                    </a:lnTo>
                    <a:lnTo>
                      <a:pt x="608" y="482"/>
                    </a:lnTo>
                    <a:lnTo>
                      <a:pt x="608" y="482"/>
                    </a:lnTo>
                    <a:lnTo>
                      <a:pt x="599" y="482"/>
                    </a:lnTo>
                    <a:lnTo>
                      <a:pt x="599" y="482"/>
                    </a:lnTo>
                    <a:lnTo>
                      <a:pt x="590" y="482"/>
                    </a:lnTo>
                    <a:lnTo>
                      <a:pt x="590" y="482"/>
                    </a:lnTo>
                    <a:lnTo>
                      <a:pt x="590" y="482"/>
                    </a:lnTo>
                    <a:lnTo>
                      <a:pt x="581" y="482"/>
                    </a:lnTo>
                    <a:lnTo>
                      <a:pt x="581" y="482"/>
                    </a:lnTo>
                    <a:lnTo>
                      <a:pt x="572" y="482"/>
                    </a:lnTo>
                    <a:lnTo>
                      <a:pt x="572" y="482"/>
                    </a:lnTo>
                    <a:lnTo>
                      <a:pt x="563" y="482"/>
                    </a:lnTo>
                    <a:lnTo>
                      <a:pt x="563" y="491"/>
                    </a:lnTo>
                    <a:lnTo>
                      <a:pt x="563" y="491"/>
                    </a:lnTo>
                    <a:lnTo>
                      <a:pt x="554" y="491"/>
                    </a:lnTo>
                    <a:lnTo>
                      <a:pt x="554" y="491"/>
                    </a:lnTo>
                    <a:lnTo>
                      <a:pt x="554" y="491"/>
                    </a:lnTo>
                    <a:lnTo>
                      <a:pt x="545" y="491"/>
                    </a:lnTo>
                    <a:lnTo>
                      <a:pt x="545" y="491"/>
                    </a:lnTo>
                    <a:lnTo>
                      <a:pt x="545" y="491"/>
                    </a:lnTo>
                    <a:lnTo>
                      <a:pt x="545" y="491"/>
                    </a:lnTo>
                    <a:lnTo>
                      <a:pt x="536" y="491"/>
                    </a:lnTo>
                    <a:lnTo>
                      <a:pt x="536" y="491"/>
                    </a:lnTo>
                    <a:lnTo>
                      <a:pt x="536" y="491"/>
                    </a:lnTo>
                    <a:lnTo>
                      <a:pt x="536" y="500"/>
                    </a:lnTo>
                    <a:lnTo>
                      <a:pt x="536" y="500"/>
                    </a:lnTo>
                    <a:lnTo>
                      <a:pt x="536" y="500"/>
                    </a:lnTo>
                    <a:lnTo>
                      <a:pt x="536" y="500"/>
                    </a:lnTo>
                    <a:lnTo>
                      <a:pt x="527" y="509"/>
                    </a:lnTo>
                    <a:lnTo>
                      <a:pt x="527" y="509"/>
                    </a:lnTo>
                    <a:lnTo>
                      <a:pt x="527" y="509"/>
                    </a:lnTo>
                    <a:lnTo>
                      <a:pt x="527" y="518"/>
                    </a:lnTo>
                    <a:lnTo>
                      <a:pt x="527" y="518"/>
                    </a:lnTo>
                    <a:lnTo>
                      <a:pt x="518" y="518"/>
                    </a:lnTo>
                    <a:lnTo>
                      <a:pt x="518" y="518"/>
                    </a:lnTo>
                    <a:lnTo>
                      <a:pt x="518" y="527"/>
                    </a:lnTo>
                    <a:lnTo>
                      <a:pt x="509" y="527"/>
                    </a:lnTo>
                    <a:lnTo>
                      <a:pt x="509" y="527"/>
                    </a:lnTo>
                    <a:lnTo>
                      <a:pt x="509" y="527"/>
                    </a:lnTo>
                    <a:lnTo>
                      <a:pt x="509" y="527"/>
                    </a:lnTo>
                    <a:lnTo>
                      <a:pt x="509" y="527"/>
                    </a:lnTo>
                    <a:lnTo>
                      <a:pt x="500" y="527"/>
                    </a:lnTo>
                    <a:lnTo>
                      <a:pt x="500" y="527"/>
                    </a:lnTo>
                    <a:lnTo>
                      <a:pt x="500" y="527"/>
                    </a:lnTo>
                    <a:lnTo>
                      <a:pt x="500" y="527"/>
                    </a:lnTo>
                    <a:lnTo>
                      <a:pt x="500" y="527"/>
                    </a:lnTo>
                    <a:lnTo>
                      <a:pt x="500" y="527"/>
                    </a:lnTo>
                    <a:lnTo>
                      <a:pt x="500" y="527"/>
                    </a:lnTo>
                    <a:lnTo>
                      <a:pt x="491" y="527"/>
                    </a:lnTo>
                    <a:lnTo>
                      <a:pt x="491" y="527"/>
                    </a:lnTo>
                    <a:lnTo>
                      <a:pt x="491" y="518"/>
                    </a:lnTo>
                    <a:lnTo>
                      <a:pt x="482" y="518"/>
                    </a:lnTo>
                    <a:lnTo>
                      <a:pt x="482" y="518"/>
                    </a:lnTo>
                    <a:lnTo>
                      <a:pt x="482" y="518"/>
                    </a:lnTo>
                    <a:lnTo>
                      <a:pt x="482" y="518"/>
                    </a:lnTo>
                    <a:lnTo>
                      <a:pt x="465" y="518"/>
                    </a:lnTo>
                    <a:lnTo>
                      <a:pt x="456" y="518"/>
                    </a:lnTo>
                    <a:lnTo>
                      <a:pt x="438" y="518"/>
                    </a:lnTo>
                    <a:lnTo>
                      <a:pt x="429" y="518"/>
                    </a:lnTo>
                    <a:lnTo>
                      <a:pt x="420" y="527"/>
                    </a:lnTo>
                    <a:lnTo>
                      <a:pt x="402" y="527"/>
                    </a:lnTo>
                    <a:lnTo>
                      <a:pt x="402" y="536"/>
                    </a:lnTo>
                    <a:lnTo>
                      <a:pt x="393" y="536"/>
                    </a:lnTo>
                    <a:lnTo>
                      <a:pt x="393" y="545"/>
                    </a:lnTo>
                    <a:lnTo>
                      <a:pt x="402" y="563"/>
                    </a:lnTo>
                    <a:lnTo>
                      <a:pt x="402" y="581"/>
                    </a:lnTo>
                    <a:lnTo>
                      <a:pt x="402" y="607"/>
                    </a:lnTo>
                    <a:lnTo>
                      <a:pt x="420" y="616"/>
                    </a:lnTo>
                    <a:lnTo>
                      <a:pt x="411" y="634"/>
                    </a:lnTo>
                    <a:lnTo>
                      <a:pt x="402" y="643"/>
                    </a:lnTo>
                    <a:lnTo>
                      <a:pt x="393" y="661"/>
                    </a:lnTo>
                    <a:lnTo>
                      <a:pt x="366" y="670"/>
                    </a:lnTo>
                    <a:lnTo>
                      <a:pt x="348" y="679"/>
                    </a:lnTo>
                    <a:lnTo>
                      <a:pt x="331" y="688"/>
                    </a:lnTo>
                    <a:lnTo>
                      <a:pt x="313" y="679"/>
                    </a:lnTo>
                    <a:lnTo>
                      <a:pt x="286" y="661"/>
                    </a:lnTo>
                    <a:lnTo>
                      <a:pt x="286" y="661"/>
                    </a:lnTo>
                    <a:lnTo>
                      <a:pt x="286" y="652"/>
                    </a:lnTo>
                    <a:lnTo>
                      <a:pt x="286" y="652"/>
                    </a:lnTo>
                    <a:lnTo>
                      <a:pt x="277" y="652"/>
                    </a:lnTo>
                    <a:lnTo>
                      <a:pt x="277" y="652"/>
                    </a:lnTo>
                    <a:lnTo>
                      <a:pt x="268" y="643"/>
                    </a:lnTo>
                    <a:lnTo>
                      <a:pt x="268" y="643"/>
                    </a:lnTo>
                    <a:lnTo>
                      <a:pt x="268" y="643"/>
                    </a:lnTo>
                    <a:lnTo>
                      <a:pt x="268" y="643"/>
                    </a:lnTo>
                    <a:lnTo>
                      <a:pt x="268" y="634"/>
                    </a:lnTo>
                    <a:lnTo>
                      <a:pt x="259" y="634"/>
                    </a:lnTo>
                    <a:lnTo>
                      <a:pt x="259" y="634"/>
                    </a:lnTo>
                    <a:lnTo>
                      <a:pt x="259" y="625"/>
                    </a:lnTo>
                    <a:lnTo>
                      <a:pt x="250" y="625"/>
                    </a:lnTo>
                    <a:lnTo>
                      <a:pt x="250" y="625"/>
                    </a:lnTo>
                    <a:lnTo>
                      <a:pt x="250" y="625"/>
                    </a:lnTo>
                    <a:lnTo>
                      <a:pt x="250" y="607"/>
                    </a:lnTo>
                    <a:lnTo>
                      <a:pt x="259" y="581"/>
                    </a:lnTo>
                    <a:lnTo>
                      <a:pt x="259" y="563"/>
                    </a:lnTo>
                    <a:lnTo>
                      <a:pt x="250" y="572"/>
                    </a:lnTo>
                    <a:lnTo>
                      <a:pt x="232" y="572"/>
                    </a:lnTo>
                    <a:lnTo>
                      <a:pt x="232" y="590"/>
                    </a:lnTo>
                    <a:lnTo>
                      <a:pt x="232" y="607"/>
                    </a:lnTo>
                    <a:lnTo>
                      <a:pt x="223" y="607"/>
                    </a:lnTo>
                    <a:lnTo>
                      <a:pt x="206" y="616"/>
                    </a:lnTo>
                    <a:lnTo>
                      <a:pt x="206" y="634"/>
                    </a:lnTo>
                    <a:lnTo>
                      <a:pt x="206" y="652"/>
                    </a:lnTo>
                    <a:lnTo>
                      <a:pt x="188" y="670"/>
                    </a:lnTo>
                    <a:lnTo>
                      <a:pt x="179" y="688"/>
                    </a:lnTo>
                    <a:lnTo>
                      <a:pt x="161" y="697"/>
                    </a:lnTo>
                    <a:lnTo>
                      <a:pt x="134" y="697"/>
                    </a:lnTo>
                    <a:lnTo>
                      <a:pt x="116" y="688"/>
                    </a:lnTo>
                    <a:lnTo>
                      <a:pt x="89" y="679"/>
                    </a:lnTo>
                    <a:lnTo>
                      <a:pt x="72" y="679"/>
                    </a:lnTo>
                    <a:lnTo>
                      <a:pt x="72" y="652"/>
                    </a:lnTo>
                    <a:lnTo>
                      <a:pt x="81" y="625"/>
                    </a:lnTo>
                    <a:lnTo>
                      <a:pt x="81" y="607"/>
                    </a:lnTo>
                    <a:lnTo>
                      <a:pt x="81" y="590"/>
                    </a:lnTo>
                    <a:lnTo>
                      <a:pt x="63" y="581"/>
                    </a:lnTo>
                    <a:lnTo>
                      <a:pt x="45" y="554"/>
                    </a:lnTo>
                    <a:lnTo>
                      <a:pt x="45" y="536"/>
                    </a:lnTo>
                    <a:lnTo>
                      <a:pt x="18" y="527"/>
                    </a:lnTo>
                    <a:lnTo>
                      <a:pt x="9" y="500"/>
                    </a:lnTo>
                    <a:lnTo>
                      <a:pt x="0" y="491"/>
                    </a:lnTo>
                    <a:lnTo>
                      <a:pt x="0" y="491"/>
                    </a:lnTo>
                    <a:lnTo>
                      <a:pt x="0" y="482"/>
                    </a:lnTo>
                    <a:lnTo>
                      <a:pt x="9" y="482"/>
                    </a:lnTo>
                    <a:lnTo>
                      <a:pt x="9" y="482"/>
                    </a:lnTo>
                    <a:lnTo>
                      <a:pt x="9" y="482"/>
                    </a:lnTo>
                    <a:lnTo>
                      <a:pt x="18" y="482"/>
                    </a:lnTo>
                    <a:lnTo>
                      <a:pt x="18" y="482"/>
                    </a:lnTo>
                    <a:lnTo>
                      <a:pt x="18" y="482"/>
                    </a:lnTo>
                    <a:lnTo>
                      <a:pt x="27" y="474"/>
                    </a:lnTo>
                    <a:lnTo>
                      <a:pt x="27" y="474"/>
                    </a:lnTo>
                    <a:lnTo>
                      <a:pt x="36" y="474"/>
                    </a:lnTo>
                    <a:lnTo>
                      <a:pt x="36" y="474"/>
                    </a:lnTo>
                    <a:lnTo>
                      <a:pt x="36" y="465"/>
                    </a:lnTo>
                    <a:lnTo>
                      <a:pt x="45" y="465"/>
                    </a:lnTo>
                    <a:lnTo>
                      <a:pt x="45" y="465"/>
                    </a:lnTo>
                    <a:lnTo>
                      <a:pt x="45" y="465"/>
                    </a:lnTo>
                    <a:lnTo>
                      <a:pt x="54" y="456"/>
                    </a:lnTo>
                    <a:lnTo>
                      <a:pt x="54" y="456"/>
                    </a:lnTo>
                    <a:lnTo>
                      <a:pt x="54" y="456"/>
                    </a:lnTo>
                    <a:lnTo>
                      <a:pt x="54" y="447"/>
                    </a:lnTo>
                    <a:lnTo>
                      <a:pt x="45" y="447"/>
                    </a:lnTo>
                    <a:lnTo>
                      <a:pt x="54" y="447"/>
                    </a:lnTo>
                    <a:lnTo>
                      <a:pt x="54" y="438"/>
                    </a:lnTo>
                    <a:lnTo>
                      <a:pt x="54" y="438"/>
                    </a:lnTo>
                    <a:lnTo>
                      <a:pt x="63" y="438"/>
                    </a:lnTo>
                    <a:lnTo>
                      <a:pt x="72" y="438"/>
                    </a:lnTo>
                    <a:lnTo>
                      <a:pt x="72" y="438"/>
                    </a:lnTo>
                    <a:lnTo>
                      <a:pt x="81" y="438"/>
                    </a:lnTo>
                    <a:lnTo>
                      <a:pt x="89" y="438"/>
                    </a:lnTo>
                    <a:lnTo>
                      <a:pt x="98" y="438"/>
                    </a:lnTo>
                    <a:lnTo>
                      <a:pt x="107" y="438"/>
                    </a:lnTo>
                    <a:lnTo>
                      <a:pt x="116" y="438"/>
                    </a:lnTo>
                    <a:lnTo>
                      <a:pt x="116" y="438"/>
                    </a:lnTo>
                    <a:lnTo>
                      <a:pt x="125" y="438"/>
                    </a:lnTo>
                    <a:lnTo>
                      <a:pt x="125" y="438"/>
                    </a:lnTo>
                    <a:lnTo>
                      <a:pt x="134" y="438"/>
                    </a:lnTo>
                    <a:lnTo>
                      <a:pt x="134" y="438"/>
                    </a:lnTo>
                    <a:lnTo>
                      <a:pt x="134" y="438"/>
                    </a:lnTo>
                    <a:lnTo>
                      <a:pt x="143" y="438"/>
                    </a:lnTo>
                    <a:lnTo>
                      <a:pt x="143" y="438"/>
                    </a:lnTo>
                    <a:lnTo>
                      <a:pt x="152" y="438"/>
                    </a:lnTo>
                    <a:lnTo>
                      <a:pt x="152" y="438"/>
                    </a:lnTo>
                    <a:lnTo>
                      <a:pt x="152" y="438"/>
                    </a:lnTo>
                    <a:lnTo>
                      <a:pt x="152" y="438"/>
                    </a:lnTo>
                    <a:lnTo>
                      <a:pt x="152" y="438"/>
                    </a:lnTo>
                    <a:lnTo>
                      <a:pt x="152" y="438"/>
                    </a:lnTo>
                    <a:lnTo>
                      <a:pt x="152" y="438"/>
                    </a:lnTo>
                    <a:lnTo>
                      <a:pt x="152" y="438"/>
                    </a:lnTo>
                    <a:lnTo>
                      <a:pt x="152" y="447"/>
                    </a:lnTo>
                    <a:lnTo>
                      <a:pt x="170" y="447"/>
                    </a:lnTo>
                    <a:lnTo>
                      <a:pt x="179" y="447"/>
                    </a:lnTo>
                    <a:lnTo>
                      <a:pt x="188" y="438"/>
                    </a:lnTo>
                    <a:lnTo>
                      <a:pt x="197" y="438"/>
                    </a:lnTo>
                    <a:lnTo>
                      <a:pt x="206" y="438"/>
                    </a:lnTo>
                    <a:lnTo>
                      <a:pt x="206" y="420"/>
                    </a:lnTo>
                    <a:lnTo>
                      <a:pt x="215" y="420"/>
                    </a:lnTo>
                    <a:lnTo>
                      <a:pt x="232" y="420"/>
                    </a:lnTo>
                    <a:lnTo>
                      <a:pt x="250" y="420"/>
                    </a:lnTo>
                    <a:lnTo>
                      <a:pt x="268" y="411"/>
                    </a:lnTo>
                    <a:lnTo>
                      <a:pt x="286" y="402"/>
                    </a:lnTo>
                    <a:lnTo>
                      <a:pt x="295" y="402"/>
                    </a:lnTo>
                    <a:lnTo>
                      <a:pt x="295" y="393"/>
                    </a:lnTo>
                    <a:lnTo>
                      <a:pt x="295" y="375"/>
                    </a:lnTo>
                    <a:lnTo>
                      <a:pt x="304" y="375"/>
                    </a:lnTo>
                    <a:lnTo>
                      <a:pt x="304" y="366"/>
                    </a:lnTo>
                    <a:lnTo>
                      <a:pt x="304" y="357"/>
                    </a:lnTo>
                    <a:lnTo>
                      <a:pt x="313" y="348"/>
                    </a:lnTo>
                    <a:lnTo>
                      <a:pt x="322" y="340"/>
                    </a:lnTo>
                    <a:lnTo>
                      <a:pt x="331" y="331"/>
                    </a:lnTo>
                    <a:lnTo>
                      <a:pt x="340" y="331"/>
                    </a:lnTo>
                    <a:lnTo>
                      <a:pt x="340" y="313"/>
                    </a:lnTo>
                    <a:lnTo>
                      <a:pt x="366" y="304"/>
                    </a:lnTo>
                    <a:lnTo>
                      <a:pt x="384" y="304"/>
                    </a:lnTo>
                    <a:lnTo>
                      <a:pt x="402" y="304"/>
                    </a:lnTo>
                    <a:lnTo>
                      <a:pt x="411" y="295"/>
                    </a:lnTo>
                    <a:lnTo>
                      <a:pt x="411" y="277"/>
                    </a:lnTo>
                    <a:lnTo>
                      <a:pt x="411" y="268"/>
                    </a:lnTo>
                    <a:lnTo>
                      <a:pt x="393" y="259"/>
                    </a:lnTo>
                    <a:lnTo>
                      <a:pt x="384" y="250"/>
                    </a:lnTo>
                    <a:lnTo>
                      <a:pt x="384" y="232"/>
                    </a:lnTo>
                    <a:lnTo>
                      <a:pt x="375" y="223"/>
                    </a:lnTo>
                    <a:lnTo>
                      <a:pt x="366" y="206"/>
                    </a:lnTo>
                    <a:lnTo>
                      <a:pt x="375" y="197"/>
                    </a:lnTo>
                  </a:path>
                </a:pathLst>
              </a:custGeom>
              <a:solidFill>
                <a:schemeClr val="tx2">
                  <a:lumMod val="75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48" name="Freeform 55">
                <a:extLst>
                  <a:ext uri="{FF2B5EF4-FFF2-40B4-BE49-F238E27FC236}">
                    <a16:creationId xmlns:a16="http://schemas.microsoft.com/office/drawing/2014/main" id="{65E1317B-4A11-47BE-AE67-464DD64410C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4525" y="5229"/>
                <a:ext cx="593" cy="594"/>
              </a:xfrm>
              <a:custGeom>
                <a:avLst/>
                <a:gdLst>
                  <a:gd name="T0" fmla="*/ 232 w 268"/>
                  <a:gd name="T1" fmla="*/ 26 h 250"/>
                  <a:gd name="T2" fmla="*/ 250 w 268"/>
                  <a:gd name="T3" fmla="*/ 62 h 250"/>
                  <a:gd name="T4" fmla="*/ 268 w 268"/>
                  <a:gd name="T5" fmla="*/ 98 h 250"/>
                  <a:gd name="T6" fmla="*/ 223 w 268"/>
                  <a:gd name="T7" fmla="*/ 107 h 250"/>
                  <a:gd name="T8" fmla="*/ 188 w 268"/>
                  <a:gd name="T9" fmla="*/ 134 h 250"/>
                  <a:gd name="T10" fmla="*/ 161 w 268"/>
                  <a:gd name="T11" fmla="*/ 160 h 250"/>
                  <a:gd name="T12" fmla="*/ 152 w 268"/>
                  <a:gd name="T13" fmla="*/ 178 h 250"/>
                  <a:gd name="T14" fmla="*/ 143 w 268"/>
                  <a:gd name="T15" fmla="*/ 205 h 250"/>
                  <a:gd name="T16" fmla="*/ 89 w 268"/>
                  <a:gd name="T17" fmla="*/ 223 h 250"/>
                  <a:gd name="T18" fmla="*/ 63 w 268"/>
                  <a:gd name="T19" fmla="*/ 241 h 250"/>
                  <a:gd name="T20" fmla="*/ 36 w 268"/>
                  <a:gd name="T21" fmla="*/ 250 h 250"/>
                  <a:gd name="T22" fmla="*/ 9 w 268"/>
                  <a:gd name="T23" fmla="*/ 241 h 250"/>
                  <a:gd name="T24" fmla="*/ 9 w 268"/>
                  <a:gd name="T25" fmla="*/ 241 h 250"/>
                  <a:gd name="T26" fmla="*/ 9 w 268"/>
                  <a:gd name="T27" fmla="*/ 232 h 250"/>
                  <a:gd name="T28" fmla="*/ 9 w 268"/>
                  <a:gd name="T29" fmla="*/ 232 h 250"/>
                  <a:gd name="T30" fmla="*/ 18 w 268"/>
                  <a:gd name="T31" fmla="*/ 223 h 250"/>
                  <a:gd name="T32" fmla="*/ 27 w 268"/>
                  <a:gd name="T33" fmla="*/ 214 h 250"/>
                  <a:gd name="T34" fmla="*/ 27 w 268"/>
                  <a:gd name="T35" fmla="*/ 205 h 250"/>
                  <a:gd name="T36" fmla="*/ 27 w 268"/>
                  <a:gd name="T37" fmla="*/ 196 h 250"/>
                  <a:gd name="T38" fmla="*/ 18 w 268"/>
                  <a:gd name="T39" fmla="*/ 178 h 250"/>
                  <a:gd name="T40" fmla="*/ 27 w 268"/>
                  <a:gd name="T41" fmla="*/ 178 h 250"/>
                  <a:gd name="T42" fmla="*/ 36 w 268"/>
                  <a:gd name="T43" fmla="*/ 187 h 250"/>
                  <a:gd name="T44" fmla="*/ 45 w 268"/>
                  <a:gd name="T45" fmla="*/ 178 h 250"/>
                  <a:gd name="T46" fmla="*/ 54 w 268"/>
                  <a:gd name="T47" fmla="*/ 160 h 250"/>
                  <a:gd name="T48" fmla="*/ 63 w 268"/>
                  <a:gd name="T49" fmla="*/ 143 h 250"/>
                  <a:gd name="T50" fmla="*/ 63 w 268"/>
                  <a:gd name="T51" fmla="*/ 125 h 250"/>
                  <a:gd name="T52" fmla="*/ 72 w 268"/>
                  <a:gd name="T53" fmla="*/ 107 h 250"/>
                  <a:gd name="T54" fmla="*/ 80 w 268"/>
                  <a:gd name="T55" fmla="*/ 89 h 250"/>
                  <a:gd name="T56" fmla="*/ 89 w 268"/>
                  <a:gd name="T57" fmla="*/ 71 h 250"/>
                  <a:gd name="T58" fmla="*/ 98 w 268"/>
                  <a:gd name="T59" fmla="*/ 62 h 250"/>
                  <a:gd name="T60" fmla="*/ 107 w 268"/>
                  <a:gd name="T61" fmla="*/ 53 h 250"/>
                  <a:gd name="T62" fmla="*/ 125 w 268"/>
                  <a:gd name="T63" fmla="*/ 44 h 250"/>
                  <a:gd name="T64" fmla="*/ 134 w 268"/>
                  <a:gd name="T65" fmla="*/ 35 h 250"/>
                  <a:gd name="T66" fmla="*/ 143 w 268"/>
                  <a:gd name="T67" fmla="*/ 35 h 250"/>
                  <a:gd name="T68" fmla="*/ 152 w 268"/>
                  <a:gd name="T69" fmla="*/ 26 h 250"/>
                  <a:gd name="T70" fmla="*/ 161 w 268"/>
                  <a:gd name="T71" fmla="*/ 18 h 250"/>
                  <a:gd name="T72" fmla="*/ 161 w 268"/>
                  <a:gd name="T73" fmla="*/ 9 h 250"/>
                  <a:gd name="T74" fmla="*/ 170 w 268"/>
                  <a:gd name="T75" fmla="*/ 0 h 250"/>
                  <a:gd name="T76" fmla="*/ 188 w 268"/>
                  <a:gd name="T77" fmla="*/ 0 h 250"/>
                  <a:gd name="T78" fmla="*/ 197 w 268"/>
                  <a:gd name="T79" fmla="*/ 0 h 250"/>
                  <a:gd name="T80" fmla="*/ 214 w 268"/>
                  <a:gd name="T81" fmla="*/ 0 h 250"/>
                  <a:gd name="T82" fmla="*/ 223 w 268"/>
                  <a:gd name="T83" fmla="*/ 0 h 250"/>
                  <a:gd name="T84" fmla="*/ 223 w 268"/>
                  <a:gd name="T85" fmla="*/ 0 h 250"/>
                  <a:gd name="T86" fmla="*/ 232 w 268"/>
                  <a:gd name="T87" fmla="*/ 0 h 25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</a:cxnLst>
                <a:rect l="0" t="0" r="r" b="b"/>
                <a:pathLst>
                  <a:path w="268" h="250">
                    <a:moveTo>
                      <a:pt x="232" y="0"/>
                    </a:moveTo>
                    <a:lnTo>
                      <a:pt x="223" y="9"/>
                    </a:lnTo>
                    <a:lnTo>
                      <a:pt x="232" y="26"/>
                    </a:lnTo>
                    <a:lnTo>
                      <a:pt x="241" y="35"/>
                    </a:lnTo>
                    <a:lnTo>
                      <a:pt x="241" y="53"/>
                    </a:lnTo>
                    <a:lnTo>
                      <a:pt x="250" y="62"/>
                    </a:lnTo>
                    <a:lnTo>
                      <a:pt x="268" y="71"/>
                    </a:lnTo>
                    <a:lnTo>
                      <a:pt x="268" y="80"/>
                    </a:lnTo>
                    <a:lnTo>
                      <a:pt x="268" y="98"/>
                    </a:lnTo>
                    <a:lnTo>
                      <a:pt x="259" y="107"/>
                    </a:lnTo>
                    <a:lnTo>
                      <a:pt x="241" y="107"/>
                    </a:lnTo>
                    <a:lnTo>
                      <a:pt x="223" y="107"/>
                    </a:lnTo>
                    <a:lnTo>
                      <a:pt x="197" y="116"/>
                    </a:lnTo>
                    <a:lnTo>
                      <a:pt x="197" y="134"/>
                    </a:lnTo>
                    <a:lnTo>
                      <a:pt x="188" y="134"/>
                    </a:lnTo>
                    <a:lnTo>
                      <a:pt x="179" y="143"/>
                    </a:lnTo>
                    <a:lnTo>
                      <a:pt x="170" y="151"/>
                    </a:lnTo>
                    <a:lnTo>
                      <a:pt x="161" y="160"/>
                    </a:lnTo>
                    <a:lnTo>
                      <a:pt x="161" y="169"/>
                    </a:lnTo>
                    <a:lnTo>
                      <a:pt x="161" y="178"/>
                    </a:lnTo>
                    <a:lnTo>
                      <a:pt x="152" y="178"/>
                    </a:lnTo>
                    <a:lnTo>
                      <a:pt x="152" y="196"/>
                    </a:lnTo>
                    <a:lnTo>
                      <a:pt x="152" y="205"/>
                    </a:lnTo>
                    <a:lnTo>
                      <a:pt x="143" y="205"/>
                    </a:lnTo>
                    <a:lnTo>
                      <a:pt x="125" y="214"/>
                    </a:lnTo>
                    <a:lnTo>
                      <a:pt x="107" y="223"/>
                    </a:lnTo>
                    <a:lnTo>
                      <a:pt x="89" y="223"/>
                    </a:lnTo>
                    <a:lnTo>
                      <a:pt x="72" y="223"/>
                    </a:lnTo>
                    <a:lnTo>
                      <a:pt x="63" y="223"/>
                    </a:lnTo>
                    <a:lnTo>
                      <a:pt x="63" y="241"/>
                    </a:lnTo>
                    <a:lnTo>
                      <a:pt x="54" y="241"/>
                    </a:lnTo>
                    <a:lnTo>
                      <a:pt x="45" y="241"/>
                    </a:lnTo>
                    <a:lnTo>
                      <a:pt x="36" y="250"/>
                    </a:lnTo>
                    <a:lnTo>
                      <a:pt x="27" y="250"/>
                    </a:lnTo>
                    <a:lnTo>
                      <a:pt x="9" y="250"/>
                    </a:lnTo>
                    <a:lnTo>
                      <a:pt x="9" y="241"/>
                    </a:lnTo>
                    <a:lnTo>
                      <a:pt x="9" y="241"/>
                    </a:lnTo>
                    <a:lnTo>
                      <a:pt x="9" y="241"/>
                    </a:lnTo>
                    <a:lnTo>
                      <a:pt x="9" y="241"/>
                    </a:lnTo>
                    <a:lnTo>
                      <a:pt x="9" y="241"/>
                    </a:lnTo>
                    <a:lnTo>
                      <a:pt x="9" y="241"/>
                    </a:lnTo>
                    <a:lnTo>
                      <a:pt x="9" y="232"/>
                    </a:lnTo>
                    <a:lnTo>
                      <a:pt x="9" y="232"/>
                    </a:lnTo>
                    <a:lnTo>
                      <a:pt x="0" y="241"/>
                    </a:lnTo>
                    <a:lnTo>
                      <a:pt x="9" y="232"/>
                    </a:lnTo>
                    <a:lnTo>
                      <a:pt x="9" y="232"/>
                    </a:lnTo>
                    <a:lnTo>
                      <a:pt x="18" y="232"/>
                    </a:lnTo>
                    <a:lnTo>
                      <a:pt x="18" y="223"/>
                    </a:lnTo>
                    <a:lnTo>
                      <a:pt x="18" y="223"/>
                    </a:lnTo>
                    <a:lnTo>
                      <a:pt x="27" y="223"/>
                    </a:lnTo>
                    <a:lnTo>
                      <a:pt x="27" y="214"/>
                    </a:lnTo>
                    <a:lnTo>
                      <a:pt x="27" y="214"/>
                    </a:lnTo>
                    <a:lnTo>
                      <a:pt x="27" y="214"/>
                    </a:lnTo>
                    <a:lnTo>
                      <a:pt x="27" y="205"/>
                    </a:lnTo>
                    <a:lnTo>
                      <a:pt x="27" y="205"/>
                    </a:lnTo>
                    <a:lnTo>
                      <a:pt x="27" y="196"/>
                    </a:lnTo>
                    <a:lnTo>
                      <a:pt x="27" y="196"/>
                    </a:lnTo>
                    <a:lnTo>
                      <a:pt x="18" y="187"/>
                    </a:lnTo>
                    <a:lnTo>
                      <a:pt x="18" y="187"/>
                    </a:lnTo>
                    <a:lnTo>
                      <a:pt x="18" y="178"/>
                    </a:lnTo>
                    <a:lnTo>
                      <a:pt x="27" y="178"/>
                    </a:lnTo>
                    <a:lnTo>
                      <a:pt x="27" y="178"/>
                    </a:lnTo>
                    <a:lnTo>
                      <a:pt x="27" y="178"/>
                    </a:lnTo>
                    <a:lnTo>
                      <a:pt x="27" y="178"/>
                    </a:lnTo>
                    <a:lnTo>
                      <a:pt x="36" y="187"/>
                    </a:lnTo>
                    <a:lnTo>
                      <a:pt x="36" y="187"/>
                    </a:lnTo>
                    <a:lnTo>
                      <a:pt x="45" y="187"/>
                    </a:lnTo>
                    <a:lnTo>
                      <a:pt x="45" y="178"/>
                    </a:lnTo>
                    <a:lnTo>
                      <a:pt x="45" y="178"/>
                    </a:lnTo>
                    <a:lnTo>
                      <a:pt x="45" y="169"/>
                    </a:lnTo>
                    <a:lnTo>
                      <a:pt x="54" y="169"/>
                    </a:lnTo>
                    <a:lnTo>
                      <a:pt x="54" y="160"/>
                    </a:lnTo>
                    <a:lnTo>
                      <a:pt x="54" y="151"/>
                    </a:lnTo>
                    <a:lnTo>
                      <a:pt x="54" y="143"/>
                    </a:lnTo>
                    <a:lnTo>
                      <a:pt x="63" y="143"/>
                    </a:lnTo>
                    <a:lnTo>
                      <a:pt x="63" y="134"/>
                    </a:lnTo>
                    <a:lnTo>
                      <a:pt x="63" y="125"/>
                    </a:lnTo>
                    <a:lnTo>
                      <a:pt x="63" y="125"/>
                    </a:lnTo>
                    <a:lnTo>
                      <a:pt x="72" y="116"/>
                    </a:lnTo>
                    <a:lnTo>
                      <a:pt x="72" y="107"/>
                    </a:lnTo>
                    <a:lnTo>
                      <a:pt x="72" y="107"/>
                    </a:lnTo>
                    <a:lnTo>
                      <a:pt x="80" y="98"/>
                    </a:lnTo>
                    <a:lnTo>
                      <a:pt x="80" y="89"/>
                    </a:lnTo>
                    <a:lnTo>
                      <a:pt x="80" y="89"/>
                    </a:lnTo>
                    <a:lnTo>
                      <a:pt x="89" y="80"/>
                    </a:lnTo>
                    <a:lnTo>
                      <a:pt x="89" y="80"/>
                    </a:lnTo>
                    <a:lnTo>
                      <a:pt x="89" y="71"/>
                    </a:lnTo>
                    <a:lnTo>
                      <a:pt x="89" y="71"/>
                    </a:lnTo>
                    <a:lnTo>
                      <a:pt x="89" y="62"/>
                    </a:lnTo>
                    <a:lnTo>
                      <a:pt x="98" y="62"/>
                    </a:lnTo>
                    <a:lnTo>
                      <a:pt x="98" y="53"/>
                    </a:lnTo>
                    <a:lnTo>
                      <a:pt x="98" y="53"/>
                    </a:lnTo>
                    <a:lnTo>
                      <a:pt x="107" y="53"/>
                    </a:lnTo>
                    <a:lnTo>
                      <a:pt x="107" y="44"/>
                    </a:lnTo>
                    <a:lnTo>
                      <a:pt x="116" y="44"/>
                    </a:lnTo>
                    <a:lnTo>
                      <a:pt x="125" y="44"/>
                    </a:lnTo>
                    <a:lnTo>
                      <a:pt x="125" y="44"/>
                    </a:lnTo>
                    <a:lnTo>
                      <a:pt x="134" y="44"/>
                    </a:lnTo>
                    <a:lnTo>
                      <a:pt x="134" y="35"/>
                    </a:lnTo>
                    <a:lnTo>
                      <a:pt x="143" y="35"/>
                    </a:lnTo>
                    <a:lnTo>
                      <a:pt x="143" y="35"/>
                    </a:lnTo>
                    <a:lnTo>
                      <a:pt x="143" y="35"/>
                    </a:lnTo>
                    <a:lnTo>
                      <a:pt x="152" y="26"/>
                    </a:lnTo>
                    <a:lnTo>
                      <a:pt x="152" y="26"/>
                    </a:lnTo>
                    <a:lnTo>
                      <a:pt x="152" y="26"/>
                    </a:lnTo>
                    <a:lnTo>
                      <a:pt x="152" y="18"/>
                    </a:lnTo>
                    <a:lnTo>
                      <a:pt x="152" y="18"/>
                    </a:lnTo>
                    <a:lnTo>
                      <a:pt x="161" y="18"/>
                    </a:lnTo>
                    <a:lnTo>
                      <a:pt x="161" y="18"/>
                    </a:lnTo>
                    <a:lnTo>
                      <a:pt x="161" y="9"/>
                    </a:lnTo>
                    <a:lnTo>
                      <a:pt x="161" y="9"/>
                    </a:lnTo>
                    <a:lnTo>
                      <a:pt x="170" y="9"/>
                    </a:lnTo>
                    <a:lnTo>
                      <a:pt x="170" y="9"/>
                    </a:lnTo>
                    <a:lnTo>
                      <a:pt x="170" y="0"/>
                    </a:lnTo>
                    <a:lnTo>
                      <a:pt x="179" y="0"/>
                    </a:lnTo>
                    <a:lnTo>
                      <a:pt x="179" y="0"/>
                    </a:lnTo>
                    <a:lnTo>
                      <a:pt x="188" y="0"/>
                    </a:lnTo>
                    <a:lnTo>
                      <a:pt x="188" y="0"/>
                    </a:lnTo>
                    <a:lnTo>
                      <a:pt x="197" y="0"/>
                    </a:lnTo>
                    <a:lnTo>
                      <a:pt x="197" y="0"/>
                    </a:lnTo>
                    <a:lnTo>
                      <a:pt x="205" y="0"/>
                    </a:lnTo>
                    <a:lnTo>
                      <a:pt x="205" y="0"/>
                    </a:lnTo>
                    <a:lnTo>
                      <a:pt x="214" y="0"/>
                    </a:lnTo>
                    <a:lnTo>
                      <a:pt x="214" y="0"/>
                    </a:lnTo>
                    <a:lnTo>
                      <a:pt x="214" y="0"/>
                    </a:lnTo>
                    <a:lnTo>
                      <a:pt x="223" y="0"/>
                    </a:lnTo>
                    <a:lnTo>
                      <a:pt x="223" y="0"/>
                    </a:lnTo>
                    <a:lnTo>
                      <a:pt x="223" y="0"/>
                    </a:lnTo>
                    <a:lnTo>
                      <a:pt x="223" y="0"/>
                    </a:lnTo>
                    <a:lnTo>
                      <a:pt x="223" y="0"/>
                    </a:lnTo>
                    <a:lnTo>
                      <a:pt x="223" y="0"/>
                    </a:lnTo>
                    <a:lnTo>
                      <a:pt x="232" y="0"/>
                    </a:lnTo>
                  </a:path>
                </a:pathLst>
              </a:custGeom>
              <a:solidFill>
                <a:schemeClr val="tx2">
                  <a:lumMod val="75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49" name="Freeform 56">
                <a:extLst>
                  <a:ext uri="{FF2B5EF4-FFF2-40B4-BE49-F238E27FC236}">
                    <a16:creationId xmlns:a16="http://schemas.microsoft.com/office/drawing/2014/main" id="{9AFE9468-1243-4EA1-A475-D59015B62E1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4" y="5926"/>
                <a:ext cx="1447" cy="1676"/>
              </a:xfrm>
              <a:custGeom>
                <a:avLst/>
                <a:gdLst>
                  <a:gd name="T0" fmla="*/ 18 w 652"/>
                  <a:gd name="T1" fmla="*/ 661 h 706"/>
                  <a:gd name="T2" fmla="*/ 18 w 652"/>
                  <a:gd name="T3" fmla="*/ 643 h 706"/>
                  <a:gd name="T4" fmla="*/ 27 w 652"/>
                  <a:gd name="T5" fmla="*/ 617 h 706"/>
                  <a:gd name="T6" fmla="*/ 35 w 652"/>
                  <a:gd name="T7" fmla="*/ 608 h 706"/>
                  <a:gd name="T8" fmla="*/ 53 w 652"/>
                  <a:gd name="T9" fmla="*/ 599 h 706"/>
                  <a:gd name="T10" fmla="*/ 44 w 652"/>
                  <a:gd name="T11" fmla="*/ 581 h 706"/>
                  <a:gd name="T12" fmla="*/ 44 w 652"/>
                  <a:gd name="T13" fmla="*/ 554 h 706"/>
                  <a:gd name="T14" fmla="*/ 27 w 652"/>
                  <a:gd name="T15" fmla="*/ 536 h 706"/>
                  <a:gd name="T16" fmla="*/ 18 w 652"/>
                  <a:gd name="T17" fmla="*/ 518 h 706"/>
                  <a:gd name="T18" fmla="*/ 9 w 652"/>
                  <a:gd name="T19" fmla="*/ 500 h 706"/>
                  <a:gd name="T20" fmla="*/ 27 w 652"/>
                  <a:gd name="T21" fmla="*/ 500 h 706"/>
                  <a:gd name="T22" fmla="*/ 53 w 652"/>
                  <a:gd name="T23" fmla="*/ 500 h 706"/>
                  <a:gd name="T24" fmla="*/ 53 w 652"/>
                  <a:gd name="T25" fmla="*/ 483 h 706"/>
                  <a:gd name="T26" fmla="*/ 44 w 652"/>
                  <a:gd name="T27" fmla="*/ 474 h 706"/>
                  <a:gd name="T28" fmla="*/ 18 w 652"/>
                  <a:gd name="T29" fmla="*/ 465 h 706"/>
                  <a:gd name="T30" fmla="*/ 9 w 652"/>
                  <a:gd name="T31" fmla="*/ 474 h 706"/>
                  <a:gd name="T32" fmla="*/ 9 w 652"/>
                  <a:gd name="T33" fmla="*/ 447 h 706"/>
                  <a:gd name="T34" fmla="*/ 9 w 652"/>
                  <a:gd name="T35" fmla="*/ 429 h 706"/>
                  <a:gd name="T36" fmla="*/ 27 w 652"/>
                  <a:gd name="T37" fmla="*/ 420 h 706"/>
                  <a:gd name="T38" fmla="*/ 44 w 652"/>
                  <a:gd name="T39" fmla="*/ 411 h 706"/>
                  <a:gd name="T40" fmla="*/ 53 w 652"/>
                  <a:gd name="T41" fmla="*/ 384 h 706"/>
                  <a:gd name="T42" fmla="*/ 71 w 652"/>
                  <a:gd name="T43" fmla="*/ 375 h 706"/>
                  <a:gd name="T44" fmla="*/ 89 w 652"/>
                  <a:gd name="T45" fmla="*/ 366 h 706"/>
                  <a:gd name="T46" fmla="*/ 107 w 652"/>
                  <a:gd name="T47" fmla="*/ 349 h 706"/>
                  <a:gd name="T48" fmla="*/ 98 w 652"/>
                  <a:gd name="T49" fmla="*/ 322 h 706"/>
                  <a:gd name="T50" fmla="*/ 89 w 652"/>
                  <a:gd name="T51" fmla="*/ 295 h 706"/>
                  <a:gd name="T52" fmla="*/ 80 w 652"/>
                  <a:gd name="T53" fmla="*/ 304 h 706"/>
                  <a:gd name="T54" fmla="*/ 71 w 652"/>
                  <a:gd name="T55" fmla="*/ 295 h 706"/>
                  <a:gd name="T56" fmla="*/ 89 w 652"/>
                  <a:gd name="T57" fmla="*/ 268 h 706"/>
                  <a:gd name="T58" fmla="*/ 107 w 652"/>
                  <a:gd name="T59" fmla="*/ 250 h 706"/>
                  <a:gd name="T60" fmla="*/ 116 w 652"/>
                  <a:gd name="T61" fmla="*/ 233 h 706"/>
                  <a:gd name="T62" fmla="*/ 134 w 652"/>
                  <a:gd name="T63" fmla="*/ 224 h 706"/>
                  <a:gd name="T64" fmla="*/ 161 w 652"/>
                  <a:gd name="T65" fmla="*/ 206 h 706"/>
                  <a:gd name="T66" fmla="*/ 178 w 652"/>
                  <a:gd name="T67" fmla="*/ 197 h 706"/>
                  <a:gd name="T68" fmla="*/ 187 w 652"/>
                  <a:gd name="T69" fmla="*/ 188 h 706"/>
                  <a:gd name="T70" fmla="*/ 196 w 652"/>
                  <a:gd name="T71" fmla="*/ 179 h 706"/>
                  <a:gd name="T72" fmla="*/ 205 w 652"/>
                  <a:gd name="T73" fmla="*/ 161 h 706"/>
                  <a:gd name="T74" fmla="*/ 214 w 652"/>
                  <a:gd name="T75" fmla="*/ 152 h 706"/>
                  <a:gd name="T76" fmla="*/ 232 w 652"/>
                  <a:gd name="T77" fmla="*/ 134 h 706"/>
                  <a:gd name="T78" fmla="*/ 259 w 652"/>
                  <a:gd name="T79" fmla="*/ 125 h 706"/>
                  <a:gd name="T80" fmla="*/ 294 w 652"/>
                  <a:gd name="T81" fmla="*/ 116 h 706"/>
                  <a:gd name="T82" fmla="*/ 321 w 652"/>
                  <a:gd name="T83" fmla="*/ 116 h 706"/>
                  <a:gd name="T84" fmla="*/ 348 w 652"/>
                  <a:gd name="T85" fmla="*/ 108 h 706"/>
                  <a:gd name="T86" fmla="*/ 375 w 652"/>
                  <a:gd name="T87" fmla="*/ 90 h 706"/>
                  <a:gd name="T88" fmla="*/ 393 w 652"/>
                  <a:gd name="T89" fmla="*/ 72 h 706"/>
                  <a:gd name="T90" fmla="*/ 402 w 652"/>
                  <a:gd name="T91" fmla="*/ 45 h 706"/>
                  <a:gd name="T92" fmla="*/ 420 w 652"/>
                  <a:gd name="T93" fmla="*/ 36 h 706"/>
                  <a:gd name="T94" fmla="*/ 420 w 652"/>
                  <a:gd name="T95" fmla="*/ 18 h 706"/>
                  <a:gd name="T96" fmla="*/ 437 w 652"/>
                  <a:gd name="T97" fmla="*/ 18 h 706"/>
                  <a:gd name="T98" fmla="*/ 455 w 652"/>
                  <a:gd name="T99" fmla="*/ 9 h 706"/>
                  <a:gd name="T100" fmla="*/ 464 w 652"/>
                  <a:gd name="T101" fmla="*/ 0 h 706"/>
                  <a:gd name="T102" fmla="*/ 518 w 652"/>
                  <a:gd name="T103" fmla="*/ 45 h 706"/>
                  <a:gd name="T104" fmla="*/ 545 w 652"/>
                  <a:gd name="T105" fmla="*/ 188 h 706"/>
                  <a:gd name="T106" fmla="*/ 652 w 652"/>
                  <a:gd name="T107" fmla="*/ 268 h 706"/>
                  <a:gd name="T108" fmla="*/ 571 w 652"/>
                  <a:gd name="T109" fmla="*/ 331 h 706"/>
                  <a:gd name="T110" fmla="*/ 527 w 652"/>
                  <a:gd name="T111" fmla="*/ 411 h 706"/>
                  <a:gd name="T112" fmla="*/ 607 w 652"/>
                  <a:gd name="T113" fmla="*/ 500 h 706"/>
                  <a:gd name="T114" fmla="*/ 625 w 652"/>
                  <a:gd name="T115" fmla="*/ 617 h 706"/>
                  <a:gd name="T116" fmla="*/ 500 w 652"/>
                  <a:gd name="T117" fmla="*/ 652 h 706"/>
                  <a:gd name="T118" fmla="*/ 384 w 652"/>
                  <a:gd name="T119" fmla="*/ 643 h 706"/>
                  <a:gd name="T120" fmla="*/ 250 w 652"/>
                  <a:gd name="T121" fmla="*/ 670 h 706"/>
                  <a:gd name="T122" fmla="*/ 161 w 652"/>
                  <a:gd name="T123" fmla="*/ 679 h 706"/>
                  <a:gd name="T124" fmla="*/ 98 w 652"/>
                  <a:gd name="T125" fmla="*/ 706 h 7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  <a:cxn ang="0">
                    <a:pos x="T124" y="T125"/>
                  </a:cxn>
                </a:cxnLst>
                <a:rect l="0" t="0" r="r" b="b"/>
                <a:pathLst>
                  <a:path w="652" h="706">
                    <a:moveTo>
                      <a:pt x="0" y="679"/>
                    </a:moveTo>
                    <a:lnTo>
                      <a:pt x="0" y="679"/>
                    </a:lnTo>
                    <a:lnTo>
                      <a:pt x="9" y="670"/>
                    </a:lnTo>
                    <a:lnTo>
                      <a:pt x="9" y="670"/>
                    </a:lnTo>
                    <a:lnTo>
                      <a:pt x="9" y="670"/>
                    </a:lnTo>
                    <a:lnTo>
                      <a:pt x="9" y="661"/>
                    </a:lnTo>
                    <a:lnTo>
                      <a:pt x="18" y="661"/>
                    </a:lnTo>
                    <a:lnTo>
                      <a:pt x="18" y="661"/>
                    </a:lnTo>
                    <a:lnTo>
                      <a:pt x="18" y="652"/>
                    </a:lnTo>
                    <a:lnTo>
                      <a:pt x="18" y="652"/>
                    </a:lnTo>
                    <a:lnTo>
                      <a:pt x="18" y="652"/>
                    </a:lnTo>
                    <a:lnTo>
                      <a:pt x="18" y="643"/>
                    </a:lnTo>
                    <a:lnTo>
                      <a:pt x="18" y="643"/>
                    </a:lnTo>
                    <a:lnTo>
                      <a:pt x="18" y="643"/>
                    </a:lnTo>
                    <a:lnTo>
                      <a:pt x="18" y="634"/>
                    </a:lnTo>
                    <a:lnTo>
                      <a:pt x="27" y="634"/>
                    </a:lnTo>
                    <a:lnTo>
                      <a:pt x="27" y="634"/>
                    </a:lnTo>
                    <a:lnTo>
                      <a:pt x="27" y="625"/>
                    </a:lnTo>
                    <a:lnTo>
                      <a:pt x="27" y="625"/>
                    </a:lnTo>
                    <a:lnTo>
                      <a:pt x="27" y="625"/>
                    </a:lnTo>
                    <a:lnTo>
                      <a:pt x="27" y="617"/>
                    </a:lnTo>
                    <a:lnTo>
                      <a:pt x="27" y="617"/>
                    </a:lnTo>
                    <a:lnTo>
                      <a:pt x="27" y="617"/>
                    </a:lnTo>
                    <a:lnTo>
                      <a:pt x="27" y="617"/>
                    </a:lnTo>
                    <a:lnTo>
                      <a:pt x="35" y="608"/>
                    </a:lnTo>
                    <a:lnTo>
                      <a:pt x="35" y="608"/>
                    </a:lnTo>
                    <a:lnTo>
                      <a:pt x="35" y="608"/>
                    </a:lnTo>
                    <a:lnTo>
                      <a:pt x="35" y="608"/>
                    </a:lnTo>
                    <a:lnTo>
                      <a:pt x="44" y="608"/>
                    </a:lnTo>
                    <a:lnTo>
                      <a:pt x="44" y="608"/>
                    </a:lnTo>
                    <a:lnTo>
                      <a:pt x="44" y="608"/>
                    </a:lnTo>
                    <a:lnTo>
                      <a:pt x="44" y="599"/>
                    </a:lnTo>
                    <a:lnTo>
                      <a:pt x="44" y="599"/>
                    </a:lnTo>
                    <a:lnTo>
                      <a:pt x="53" y="599"/>
                    </a:lnTo>
                    <a:lnTo>
                      <a:pt x="53" y="599"/>
                    </a:lnTo>
                    <a:lnTo>
                      <a:pt x="53" y="599"/>
                    </a:lnTo>
                    <a:lnTo>
                      <a:pt x="53" y="590"/>
                    </a:lnTo>
                    <a:lnTo>
                      <a:pt x="44" y="590"/>
                    </a:lnTo>
                    <a:lnTo>
                      <a:pt x="44" y="590"/>
                    </a:lnTo>
                    <a:lnTo>
                      <a:pt x="44" y="581"/>
                    </a:lnTo>
                    <a:lnTo>
                      <a:pt x="44" y="581"/>
                    </a:lnTo>
                    <a:lnTo>
                      <a:pt x="44" y="581"/>
                    </a:lnTo>
                    <a:lnTo>
                      <a:pt x="44" y="572"/>
                    </a:lnTo>
                    <a:lnTo>
                      <a:pt x="44" y="572"/>
                    </a:lnTo>
                    <a:lnTo>
                      <a:pt x="44" y="563"/>
                    </a:lnTo>
                    <a:lnTo>
                      <a:pt x="44" y="563"/>
                    </a:lnTo>
                    <a:lnTo>
                      <a:pt x="44" y="554"/>
                    </a:lnTo>
                    <a:lnTo>
                      <a:pt x="44" y="554"/>
                    </a:lnTo>
                    <a:lnTo>
                      <a:pt x="44" y="554"/>
                    </a:lnTo>
                    <a:lnTo>
                      <a:pt x="44" y="545"/>
                    </a:lnTo>
                    <a:lnTo>
                      <a:pt x="35" y="545"/>
                    </a:lnTo>
                    <a:lnTo>
                      <a:pt x="35" y="545"/>
                    </a:lnTo>
                    <a:lnTo>
                      <a:pt x="35" y="545"/>
                    </a:lnTo>
                    <a:lnTo>
                      <a:pt x="35" y="536"/>
                    </a:lnTo>
                    <a:lnTo>
                      <a:pt x="35" y="536"/>
                    </a:lnTo>
                    <a:lnTo>
                      <a:pt x="27" y="536"/>
                    </a:lnTo>
                    <a:lnTo>
                      <a:pt x="27" y="536"/>
                    </a:lnTo>
                    <a:lnTo>
                      <a:pt x="27" y="536"/>
                    </a:lnTo>
                    <a:lnTo>
                      <a:pt x="27" y="527"/>
                    </a:lnTo>
                    <a:lnTo>
                      <a:pt x="18" y="527"/>
                    </a:lnTo>
                    <a:lnTo>
                      <a:pt x="18" y="527"/>
                    </a:lnTo>
                    <a:lnTo>
                      <a:pt x="18" y="518"/>
                    </a:lnTo>
                    <a:lnTo>
                      <a:pt x="18" y="518"/>
                    </a:lnTo>
                    <a:lnTo>
                      <a:pt x="9" y="518"/>
                    </a:lnTo>
                    <a:lnTo>
                      <a:pt x="9" y="509"/>
                    </a:lnTo>
                    <a:lnTo>
                      <a:pt x="9" y="509"/>
                    </a:lnTo>
                    <a:lnTo>
                      <a:pt x="9" y="509"/>
                    </a:lnTo>
                    <a:lnTo>
                      <a:pt x="9" y="509"/>
                    </a:lnTo>
                    <a:lnTo>
                      <a:pt x="9" y="509"/>
                    </a:lnTo>
                    <a:lnTo>
                      <a:pt x="9" y="500"/>
                    </a:lnTo>
                    <a:lnTo>
                      <a:pt x="9" y="500"/>
                    </a:lnTo>
                    <a:lnTo>
                      <a:pt x="9" y="500"/>
                    </a:lnTo>
                    <a:lnTo>
                      <a:pt x="9" y="500"/>
                    </a:lnTo>
                    <a:lnTo>
                      <a:pt x="18" y="500"/>
                    </a:lnTo>
                    <a:lnTo>
                      <a:pt x="18" y="500"/>
                    </a:lnTo>
                    <a:lnTo>
                      <a:pt x="18" y="500"/>
                    </a:lnTo>
                    <a:lnTo>
                      <a:pt x="27" y="500"/>
                    </a:lnTo>
                    <a:lnTo>
                      <a:pt x="27" y="500"/>
                    </a:lnTo>
                    <a:lnTo>
                      <a:pt x="35" y="509"/>
                    </a:lnTo>
                    <a:lnTo>
                      <a:pt x="35" y="509"/>
                    </a:lnTo>
                    <a:lnTo>
                      <a:pt x="44" y="509"/>
                    </a:lnTo>
                    <a:lnTo>
                      <a:pt x="44" y="500"/>
                    </a:lnTo>
                    <a:lnTo>
                      <a:pt x="44" y="500"/>
                    </a:lnTo>
                    <a:lnTo>
                      <a:pt x="53" y="500"/>
                    </a:lnTo>
                    <a:lnTo>
                      <a:pt x="53" y="491"/>
                    </a:lnTo>
                    <a:lnTo>
                      <a:pt x="53" y="491"/>
                    </a:lnTo>
                    <a:lnTo>
                      <a:pt x="53" y="491"/>
                    </a:lnTo>
                    <a:lnTo>
                      <a:pt x="53" y="483"/>
                    </a:lnTo>
                    <a:lnTo>
                      <a:pt x="53" y="483"/>
                    </a:lnTo>
                    <a:lnTo>
                      <a:pt x="53" y="483"/>
                    </a:lnTo>
                    <a:lnTo>
                      <a:pt x="53" y="483"/>
                    </a:lnTo>
                    <a:lnTo>
                      <a:pt x="53" y="483"/>
                    </a:lnTo>
                    <a:lnTo>
                      <a:pt x="44" y="483"/>
                    </a:lnTo>
                    <a:lnTo>
                      <a:pt x="44" y="483"/>
                    </a:lnTo>
                    <a:lnTo>
                      <a:pt x="44" y="483"/>
                    </a:lnTo>
                    <a:lnTo>
                      <a:pt x="44" y="483"/>
                    </a:lnTo>
                    <a:lnTo>
                      <a:pt x="44" y="483"/>
                    </a:lnTo>
                    <a:lnTo>
                      <a:pt x="44" y="474"/>
                    </a:lnTo>
                    <a:lnTo>
                      <a:pt x="35" y="474"/>
                    </a:lnTo>
                    <a:lnTo>
                      <a:pt x="35" y="474"/>
                    </a:lnTo>
                    <a:lnTo>
                      <a:pt x="35" y="474"/>
                    </a:lnTo>
                    <a:lnTo>
                      <a:pt x="27" y="474"/>
                    </a:lnTo>
                    <a:lnTo>
                      <a:pt x="27" y="474"/>
                    </a:lnTo>
                    <a:lnTo>
                      <a:pt x="27" y="465"/>
                    </a:lnTo>
                    <a:lnTo>
                      <a:pt x="18" y="465"/>
                    </a:lnTo>
                    <a:lnTo>
                      <a:pt x="18" y="465"/>
                    </a:lnTo>
                    <a:lnTo>
                      <a:pt x="18" y="465"/>
                    </a:lnTo>
                    <a:lnTo>
                      <a:pt x="18" y="465"/>
                    </a:lnTo>
                    <a:lnTo>
                      <a:pt x="9" y="474"/>
                    </a:lnTo>
                    <a:lnTo>
                      <a:pt x="9" y="474"/>
                    </a:lnTo>
                    <a:lnTo>
                      <a:pt x="9" y="474"/>
                    </a:lnTo>
                    <a:lnTo>
                      <a:pt x="9" y="474"/>
                    </a:lnTo>
                    <a:lnTo>
                      <a:pt x="9" y="465"/>
                    </a:lnTo>
                    <a:lnTo>
                      <a:pt x="9" y="465"/>
                    </a:lnTo>
                    <a:lnTo>
                      <a:pt x="9" y="465"/>
                    </a:lnTo>
                    <a:lnTo>
                      <a:pt x="9" y="456"/>
                    </a:lnTo>
                    <a:lnTo>
                      <a:pt x="9" y="456"/>
                    </a:lnTo>
                    <a:lnTo>
                      <a:pt x="9" y="456"/>
                    </a:lnTo>
                    <a:lnTo>
                      <a:pt x="9" y="447"/>
                    </a:lnTo>
                    <a:lnTo>
                      <a:pt x="9" y="447"/>
                    </a:lnTo>
                    <a:lnTo>
                      <a:pt x="9" y="447"/>
                    </a:lnTo>
                    <a:lnTo>
                      <a:pt x="9" y="438"/>
                    </a:lnTo>
                    <a:lnTo>
                      <a:pt x="9" y="438"/>
                    </a:lnTo>
                    <a:lnTo>
                      <a:pt x="9" y="438"/>
                    </a:lnTo>
                    <a:lnTo>
                      <a:pt x="9" y="429"/>
                    </a:lnTo>
                    <a:lnTo>
                      <a:pt x="9" y="429"/>
                    </a:lnTo>
                    <a:lnTo>
                      <a:pt x="18" y="429"/>
                    </a:lnTo>
                    <a:lnTo>
                      <a:pt x="18" y="420"/>
                    </a:lnTo>
                    <a:lnTo>
                      <a:pt x="18" y="420"/>
                    </a:lnTo>
                    <a:lnTo>
                      <a:pt x="18" y="420"/>
                    </a:lnTo>
                    <a:lnTo>
                      <a:pt x="27" y="420"/>
                    </a:lnTo>
                    <a:lnTo>
                      <a:pt x="27" y="420"/>
                    </a:lnTo>
                    <a:lnTo>
                      <a:pt x="27" y="420"/>
                    </a:lnTo>
                    <a:lnTo>
                      <a:pt x="35" y="420"/>
                    </a:lnTo>
                    <a:lnTo>
                      <a:pt x="35" y="420"/>
                    </a:lnTo>
                    <a:lnTo>
                      <a:pt x="35" y="420"/>
                    </a:lnTo>
                    <a:lnTo>
                      <a:pt x="44" y="420"/>
                    </a:lnTo>
                    <a:lnTo>
                      <a:pt x="44" y="420"/>
                    </a:lnTo>
                    <a:lnTo>
                      <a:pt x="44" y="411"/>
                    </a:lnTo>
                    <a:lnTo>
                      <a:pt x="44" y="411"/>
                    </a:lnTo>
                    <a:lnTo>
                      <a:pt x="44" y="402"/>
                    </a:lnTo>
                    <a:lnTo>
                      <a:pt x="44" y="402"/>
                    </a:lnTo>
                    <a:lnTo>
                      <a:pt x="44" y="393"/>
                    </a:lnTo>
                    <a:lnTo>
                      <a:pt x="44" y="393"/>
                    </a:lnTo>
                    <a:lnTo>
                      <a:pt x="53" y="384"/>
                    </a:lnTo>
                    <a:lnTo>
                      <a:pt x="53" y="384"/>
                    </a:lnTo>
                    <a:lnTo>
                      <a:pt x="53" y="384"/>
                    </a:lnTo>
                    <a:lnTo>
                      <a:pt x="62" y="384"/>
                    </a:lnTo>
                    <a:lnTo>
                      <a:pt x="62" y="384"/>
                    </a:lnTo>
                    <a:lnTo>
                      <a:pt x="62" y="384"/>
                    </a:lnTo>
                    <a:lnTo>
                      <a:pt x="62" y="384"/>
                    </a:lnTo>
                    <a:lnTo>
                      <a:pt x="71" y="384"/>
                    </a:lnTo>
                    <a:lnTo>
                      <a:pt x="71" y="384"/>
                    </a:lnTo>
                    <a:lnTo>
                      <a:pt x="71" y="375"/>
                    </a:lnTo>
                    <a:lnTo>
                      <a:pt x="80" y="375"/>
                    </a:lnTo>
                    <a:lnTo>
                      <a:pt x="80" y="375"/>
                    </a:lnTo>
                    <a:lnTo>
                      <a:pt x="80" y="375"/>
                    </a:lnTo>
                    <a:lnTo>
                      <a:pt x="80" y="375"/>
                    </a:lnTo>
                    <a:lnTo>
                      <a:pt x="89" y="375"/>
                    </a:lnTo>
                    <a:lnTo>
                      <a:pt x="89" y="366"/>
                    </a:lnTo>
                    <a:lnTo>
                      <a:pt x="89" y="366"/>
                    </a:lnTo>
                    <a:lnTo>
                      <a:pt x="89" y="366"/>
                    </a:lnTo>
                    <a:lnTo>
                      <a:pt x="98" y="366"/>
                    </a:lnTo>
                    <a:lnTo>
                      <a:pt x="98" y="358"/>
                    </a:lnTo>
                    <a:lnTo>
                      <a:pt x="98" y="358"/>
                    </a:lnTo>
                    <a:lnTo>
                      <a:pt x="98" y="349"/>
                    </a:lnTo>
                    <a:lnTo>
                      <a:pt x="98" y="349"/>
                    </a:lnTo>
                    <a:lnTo>
                      <a:pt x="107" y="349"/>
                    </a:lnTo>
                    <a:lnTo>
                      <a:pt x="107" y="340"/>
                    </a:lnTo>
                    <a:lnTo>
                      <a:pt x="107" y="340"/>
                    </a:lnTo>
                    <a:lnTo>
                      <a:pt x="107" y="331"/>
                    </a:lnTo>
                    <a:lnTo>
                      <a:pt x="98" y="331"/>
                    </a:lnTo>
                    <a:lnTo>
                      <a:pt x="98" y="322"/>
                    </a:lnTo>
                    <a:lnTo>
                      <a:pt x="98" y="322"/>
                    </a:lnTo>
                    <a:lnTo>
                      <a:pt x="98" y="322"/>
                    </a:lnTo>
                    <a:lnTo>
                      <a:pt x="98" y="313"/>
                    </a:lnTo>
                    <a:lnTo>
                      <a:pt x="89" y="313"/>
                    </a:lnTo>
                    <a:lnTo>
                      <a:pt x="89" y="313"/>
                    </a:lnTo>
                    <a:lnTo>
                      <a:pt x="89" y="304"/>
                    </a:lnTo>
                    <a:lnTo>
                      <a:pt x="89" y="304"/>
                    </a:lnTo>
                    <a:lnTo>
                      <a:pt x="89" y="304"/>
                    </a:lnTo>
                    <a:lnTo>
                      <a:pt x="89" y="295"/>
                    </a:lnTo>
                    <a:lnTo>
                      <a:pt x="89" y="295"/>
                    </a:lnTo>
                    <a:lnTo>
                      <a:pt x="89" y="295"/>
                    </a:lnTo>
                    <a:lnTo>
                      <a:pt x="89" y="295"/>
                    </a:lnTo>
                    <a:lnTo>
                      <a:pt x="89" y="295"/>
                    </a:lnTo>
                    <a:lnTo>
                      <a:pt x="80" y="295"/>
                    </a:lnTo>
                    <a:lnTo>
                      <a:pt x="80" y="304"/>
                    </a:lnTo>
                    <a:lnTo>
                      <a:pt x="80" y="304"/>
                    </a:lnTo>
                    <a:lnTo>
                      <a:pt x="80" y="304"/>
                    </a:lnTo>
                    <a:lnTo>
                      <a:pt x="80" y="313"/>
                    </a:lnTo>
                    <a:lnTo>
                      <a:pt x="71" y="313"/>
                    </a:lnTo>
                    <a:lnTo>
                      <a:pt x="71" y="313"/>
                    </a:lnTo>
                    <a:lnTo>
                      <a:pt x="71" y="304"/>
                    </a:lnTo>
                    <a:lnTo>
                      <a:pt x="71" y="304"/>
                    </a:lnTo>
                    <a:lnTo>
                      <a:pt x="71" y="295"/>
                    </a:lnTo>
                    <a:lnTo>
                      <a:pt x="80" y="295"/>
                    </a:lnTo>
                    <a:lnTo>
                      <a:pt x="80" y="286"/>
                    </a:lnTo>
                    <a:lnTo>
                      <a:pt x="80" y="286"/>
                    </a:lnTo>
                    <a:lnTo>
                      <a:pt x="80" y="277"/>
                    </a:lnTo>
                    <a:lnTo>
                      <a:pt x="89" y="277"/>
                    </a:lnTo>
                    <a:lnTo>
                      <a:pt x="89" y="277"/>
                    </a:lnTo>
                    <a:lnTo>
                      <a:pt x="89" y="268"/>
                    </a:lnTo>
                    <a:lnTo>
                      <a:pt x="98" y="268"/>
                    </a:lnTo>
                    <a:lnTo>
                      <a:pt x="98" y="268"/>
                    </a:lnTo>
                    <a:lnTo>
                      <a:pt x="98" y="259"/>
                    </a:lnTo>
                    <a:lnTo>
                      <a:pt x="98" y="259"/>
                    </a:lnTo>
                    <a:lnTo>
                      <a:pt x="107" y="259"/>
                    </a:lnTo>
                    <a:lnTo>
                      <a:pt x="107" y="250"/>
                    </a:lnTo>
                    <a:lnTo>
                      <a:pt x="107" y="250"/>
                    </a:lnTo>
                    <a:lnTo>
                      <a:pt x="107" y="250"/>
                    </a:lnTo>
                    <a:lnTo>
                      <a:pt x="107" y="250"/>
                    </a:lnTo>
                    <a:lnTo>
                      <a:pt x="107" y="241"/>
                    </a:lnTo>
                    <a:lnTo>
                      <a:pt x="107" y="241"/>
                    </a:lnTo>
                    <a:lnTo>
                      <a:pt x="107" y="241"/>
                    </a:lnTo>
                    <a:lnTo>
                      <a:pt x="107" y="241"/>
                    </a:lnTo>
                    <a:lnTo>
                      <a:pt x="116" y="233"/>
                    </a:lnTo>
                    <a:lnTo>
                      <a:pt x="116" y="233"/>
                    </a:lnTo>
                    <a:lnTo>
                      <a:pt x="116" y="233"/>
                    </a:lnTo>
                    <a:lnTo>
                      <a:pt x="116" y="233"/>
                    </a:lnTo>
                    <a:lnTo>
                      <a:pt x="125" y="224"/>
                    </a:lnTo>
                    <a:lnTo>
                      <a:pt x="125" y="224"/>
                    </a:lnTo>
                    <a:lnTo>
                      <a:pt x="134" y="224"/>
                    </a:lnTo>
                    <a:lnTo>
                      <a:pt x="134" y="224"/>
                    </a:lnTo>
                    <a:lnTo>
                      <a:pt x="134" y="215"/>
                    </a:lnTo>
                    <a:lnTo>
                      <a:pt x="143" y="215"/>
                    </a:lnTo>
                    <a:lnTo>
                      <a:pt x="143" y="215"/>
                    </a:lnTo>
                    <a:lnTo>
                      <a:pt x="152" y="215"/>
                    </a:lnTo>
                    <a:lnTo>
                      <a:pt x="152" y="206"/>
                    </a:lnTo>
                    <a:lnTo>
                      <a:pt x="152" y="206"/>
                    </a:lnTo>
                    <a:lnTo>
                      <a:pt x="161" y="206"/>
                    </a:lnTo>
                    <a:lnTo>
                      <a:pt x="161" y="206"/>
                    </a:lnTo>
                    <a:lnTo>
                      <a:pt x="169" y="206"/>
                    </a:lnTo>
                    <a:lnTo>
                      <a:pt x="169" y="206"/>
                    </a:lnTo>
                    <a:lnTo>
                      <a:pt x="169" y="197"/>
                    </a:lnTo>
                    <a:lnTo>
                      <a:pt x="178" y="197"/>
                    </a:lnTo>
                    <a:lnTo>
                      <a:pt x="178" y="197"/>
                    </a:lnTo>
                    <a:lnTo>
                      <a:pt x="178" y="197"/>
                    </a:lnTo>
                    <a:lnTo>
                      <a:pt x="178" y="197"/>
                    </a:lnTo>
                    <a:lnTo>
                      <a:pt x="187" y="197"/>
                    </a:lnTo>
                    <a:lnTo>
                      <a:pt x="187" y="188"/>
                    </a:lnTo>
                    <a:lnTo>
                      <a:pt x="187" y="188"/>
                    </a:lnTo>
                    <a:lnTo>
                      <a:pt x="187" y="188"/>
                    </a:lnTo>
                    <a:lnTo>
                      <a:pt x="187" y="188"/>
                    </a:lnTo>
                    <a:lnTo>
                      <a:pt x="187" y="188"/>
                    </a:lnTo>
                    <a:lnTo>
                      <a:pt x="187" y="188"/>
                    </a:lnTo>
                    <a:lnTo>
                      <a:pt x="187" y="179"/>
                    </a:lnTo>
                    <a:lnTo>
                      <a:pt x="187" y="179"/>
                    </a:lnTo>
                    <a:lnTo>
                      <a:pt x="187" y="179"/>
                    </a:lnTo>
                    <a:lnTo>
                      <a:pt x="187" y="179"/>
                    </a:lnTo>
                    <a:lnTo>
                      <a:pt x="187" y="179"/>
                    </a:lnTo>
                    <a:lnTo>
                      <a:pt x="196" y="179"/>
                    </a:lnTo>
                    <a:lnTo>
                      <a:pt x="196" y="170"/>
                    </a:lnTo>
                    <a:lnTo>
                      <a:pt x="196" y="170"/>
                    </a:lnTo>
                    <a:lnTo>
                      <a:pt x="196" y="170"/>
                    </a:lnTo>
                    <a:lnTo>
                      <a:pt x="196" y="170"/>
                    </a:lnTo>
                    <a:lnTo>
                      <a:pt x="196" y="170"/>
                    </a:lnTo>
                    <a:lnTo>
                      <a:pt x="205" y="170"/>
                    </a:lnTo>
                    <a:lnTo>
                      <a:pt x="205" y="161"/>
                    </a:lnTo>
                    <a:lnTo>
                      <a:pt x="205" y="161"/>
                    </a:lnTo>
                    <a:lnTo>
                      <a:pt x="205" y="161"/>
                    </a:lnTo>
                    <a:lnTo>
                      <a:pt x="205" y="161"/>
                    </a:lnTo>
                    <a:lnTo>
                      <a:pt x="205" y="161"/>
                    </a:lnTo>
                    <a:lnTo>
                      <a:pt x="214" y="152"/>
                    </a:lnTo>
                    <a:lnTo>
                      <a:pt x="214" y="152"/>
                    </a:lnTo>
                    <a:lnTo>
                      <a:pt x="214" y="152"/>
                    </a:lnTo>
                    <a:lnTo>
                      <a:pt x="214" y="152"/>
                    </a:lnTo>
                    <a:lnTo>
                      <a:pt x="223" y="143"/>
                    </a:lnTo>
                    <a:lnTo>
                      <a:pt x="223" y="143"/>
                    </a:lnTo>
                    <a:lnTo>
                      <a:pt x="223" y="143"/>
                    </a:lnTo>
                    <a:lnTo>
                      <a:pt x="232" y="143"/>
                    </a:lnTo>
                    <a:lnTo>
                      <a:pt x="232" y="143"/>
                    </a:lnTo>
                    <a:lnTo>
                      <a:pt x="232" y="134"/>
                    </a:lnTo>
                    <a:lnTo>
                      <a:pt x="241" y="134"/>
                    </a:lnTo>
                    <a:lnTo>
                      <a:pt x="241" y="134"/>
                    </a:lnTo>
                    <a:lnTo>
                      <a:pt x="241" y="134"/>
                    </a:lnTo>
                    <a:lnTo>
                      <a:pt x="250" y="134"/>
                    </a:lnTo>
                    <a:lnTo>
                      <a:pt x="250" y="125"/>
                    </a:lnTo>
                    <a:lnTo>
                      <a:pt x="250" y="125"/>
                    </a:lnTo>
                    <a:lnTo>
                      <a:pt x="259" y="125"/>
                    </a:lnTo>
                    <a:lnTo>
                      <a:pt x="259" y="125"/>
                    </a:lnTo>
                    <a:lnTo>
                      <a:pt x="268" y="125"/>
                    </a:lnTo>
                    <a:lnTo>
                      <a:pt x="268" y="125"/>
                    </a:lnTo>
                    <a:lnTo>
                      <a:pt x="277" y="116"/>
                    </a:lnTo>
                    <a:lnTo>
                      <a:pt x="286" y="116"/>
                    </a:lnTo>
                    <a:lnTo>
                      <a:pt x="286" y="116"/>
                    </a:lnTo>
                    <a:lnTo>
                      <a:pt x="294" y="116"/>
                    </a:lnTo>
                    <a:lnTo>
                      <a:pt x="294" y="116"/>
                    </a:lnTo>
                    <a:lnTo>
                      <a:pt x="303" y="116"/>
                    </a:lnTo>
                    <a:lnTo>
                      <a:pt x="303" y="116"/>
                    </a:lnTo>
                    <a:lnTo>
                      <a:pt x="312" y="116"/>
                    </a:lnTo>
                    <a:lnTo>
                      <a:pt x="312" y="116"/>
                    </a:lnTo>
                    <a:lnTo>
                      <a:pt x="321" y="116"/>
                    </a:lnTo>
                    <a:lnTo>
                      <a:pt x="321" y="116"/>
                    </a:lnTo>
                    <a:lnTo>
                      <a:pt x="321" y="116"/>
                    </a:lnTo>
                    <a:lnTo>
                      <a:pt x="330" y="116"/>
                    </a:lnTo>
                    <a:lnTo>
                      <a:pt x="330" y="116"/>
                    </a:lnTo>
                    <a:lnTo>
                      <a:pt x="339" y="108"/>
                    </a:lnTo>
                    <a:lnTo>
                      <a:pt x="339" y="108"/>
                    </a:lnTo>
                    <a:lnTo>
                      <a:pt x="339" y="108"/>
                    </a:lnTo>
                    <a:lnTo>
                      <a:pt x="348" y="108"/>
                    </a:lnTo>
                    <a:lnTo>
                      <a:pt x="348" y="99"/>
                    </a:lnTo>
                    <a:lnTo>
                      <a:pt x="357" y="99"/>
                    </a:lnTo>
                    <a:lnTo>
                      <a:pt x="357" y="99"/>
                    </a:lnTo>
                    <a:lnTo>
                      <a:pt x="366" y="99"/>
                    </a:lnTo>
                    <a:lnTo>
                      <a:pt x="366" y="90"/>
                    </a:lnTo>
                    <a:lnTo>
                      <a:pt x="366" y="90"/>
                    </a:lnTo>
                    <a:lnTo>
                      <a:pt x="375" y="90"/>
                    </a:lnTo>
                    <a:lnTo>
                      <a:pt x="375" y="90"/>
                    </a:lnTo>
                    <a:lnTo>
                      <a:pt x="384" y="81"/>
                    </a:lnTo>
                    <a:lnTo>
                      <a:pt x="384" y="81"/>
                    </a:lnTo>
                    <a:lnTo>
                      <a:pt x="384" y="81"/>
                    </a:lnTo>
                    <a:lnTo>
                      <a:pt x="393" y="81"/>
                    </a:lnTo>
                    <a:lnTo>
                      <a:pt x="393" y="72"/>
                    </a:lnTo>
                    <a:lnTo>
                      <a:pt x="393" y="72"/>
                    </a:lnTo>
                    <a:lnTo>
                      <a:pt x="393" y="63"/>
                    </a:lnTo>
                    <a:lnTo>
                      <a:pt x="393" y="63"/>
                    </a:lnTo>
                    <a:lnTo>
                      <a:pt x="402" y="54"/>
                    </a:lnTo>
                    <a:lnTo>
                      <a:pt x="402" y="54"/>
                    </a:lnTo>
                    <a:lnTo>
                      <a:pt x="402" y="54"/>
                    </a:lnTo>
                    <a:lnTo>
                      <a:pt x="402" y="45"/>
                    </a:lnTo>
                    <a:lnTo>
                      <a:pt x="402" y="45"/>
                    </a:lnTo>
                    <a:lnTo>
                      <a:pt x="411" y="45"/>
                    </a:lnTo>
                    <a:lnTo>
                      <a:pt x="411" y="45"/>
                    </a:lnTo>
                    <a:lnTo>
                      <a:pt x="411" y="45"/>
                    </a:lnTo>
                    <a:lnTo>
                      <a:pt x="411" y="45"/>
                    </a:lnTo>
                    <a:lnTo>
                      <a:pt x="411" y="36"/>
                    </a:lnTo>
                    <a:lnTo>
                      <a:pt x="411" y="36"/>
                    </a:lnTo>
                    <a:lnTo>
                      <a:pt x="420" y="36"/>
                    </a:lnTo>
                    <a:lnTo>
                      <a:pt x="420" y="36"/>
                    </a:lnTo>
                    <a:lnTo>
                      <a:pt x="420" y="36"/>
                    </a:lnTo>
                    <a:lnTo>
                      <a:pt x="420" y="27"/>
                    </a:lnTo>
                    <a:lnTo>
                      <a:pt x="420" y="27"/>
                    </a:lnTo>
                    <a:lnTo>
                      <a:pt x="420" y="27"/>
                    </a:lnTo>
                    <a:lnTo>
                      <a:pt x="420" y="18"/>
                    </a:lnTo>
                    <a:lnTo>
                      <a:pt x="420" y="18"/>
                    </a:lnTo>
                    <a:lnTo>
                      <a:pt x="420" y="18"/>
                    </a:lnTo>
                    <a:lnTo>
                      <a:pt x="428" y="18"/>
                    </a:lnTo>
                    <a:lnTo>
                      <a:pt x="428" y="18"/>
                    </a:lnTo>
                    <a:lnTo>
                      <a:pt x="428" y="18"/>
                    </a:lnTo>
                    <a:lnTo>
                      <a:pt x="437" y="18"/>
                    </a:lnTo>
                    <a:lnTo>
                      <a:pt x="437" y="18"/>
                    </a:lnTo>
                    <a:lnTo>
                      <a:pt x="437" y="18"/>
                    </a:lnTo>
                    <a:lnTo>
                      <a:pt x="437" y="18"/>
                    </a:lnTo>
                    <a:lnTo>
                      <a:pt x="446" y="9"/>
                    </a:lnTo>
                    <a:lnTo>
                      <a:pt x="446" y="9"/>
                    </a:lnTo>
                    <a:lnTo>
                      <a:pt x="446" y="9"/>
                    </a:lnTo>
                    <a:lnTo>
                      <a:pt x="455" y="9"/>
                    </a:lnTo>
                    <a:lnTo>
                      <a:pt x="455" y="9"/>
                    </a:lnTo>
                    <a:lnTo>
                      <a:pt x="455" y="9"/>
                    </a:lnTo>
                    <a:lnTo>
                      <a:pt x="455" y="0"/>
                    </a:lnTo>
                    <a:lnTo>
                      <a:pt x="464" y="0"/>
                    </a:lnTo>
                    <a:lnTo>
                      <a:pt x="464" y="0"/>
                    </a:lnTo>
                    <a:lnTo>
                      <a:pt x="464" y="0"/>
                    </a:lnTo>
                    <a:lnTo>
                      <a:pt x="464" y="0"/>
                    </a:lnTo>
                    <a:lnTo>
                      <a:pt x="464" y="0"/>
                    </a:lnTo>
                    <a:lnTo>
                      <a:pt x="464" y="0"/>
                    </a:lnTo>
                    <a:lnTo>
                      <a:pt x="464" y="0"/>
                    </a:lnTo>
                    <a:lnTo>
                      <a:pt x="464" y="0"/>
                    </a:lnTo>
                    <a:lnTo>
                      <a:pt x="473" y="0"/>
                    </a:lnTo>
                    <a:lnTo>
                      <a:pt x="473" y="0"/>
                    </a:lnTo>
                    <a:lnTo>
                      <a:pt x="482" y="9"/>
                    </a:lnTo>
                    <a:lnTo>
                      <a:pt x="491" y="36"/>
                    </a:lnTo>
                    <a:lnTo>
                      <a:pt x="518" y="45"/>
                    </a:lnTo>
                    <a:lnTo>
                      <a:pt x="518" y="63"/>
                    </a:lnTo>
                    <a:lnTo>
                      <a:pt x="536" y="90"/>
                    </a:lnTo>
                    <a:lnTo>
                      <a:pt x="554" y="99"/>
                    </a:lnTo>
                    <a:lnTo>
                      <a:pt x="554" y="116"/>
                    </a:lnTo>
                    <a:lnTo>
                      <a:pt x="554" y="134"/>
                    </a:lnTo>
                    <a:lnTo>
                      <a:pt x="545" y="161"/>
                    </a:lnTo>
                    <a:lnTo>
                      <a:pt x="545" y="188"/>
                    </a:lnTo>
                    <a:lnTo>
                      <a:pt x="562" y="188"/>
                    </a:lnTo>
                    <a:lnTo>
                      <a:pt x="589" y="197"/>
                    </a:lnTo>
                    <a:lnTo>
                      <a:pt x="607" y="206"/>
                    </a:lnTo>
                    <a:lnTo>
                      <a:pt x="634" y="206"/>
                    </a:lnTo>
                    <a:lnTo>
                      <a:pt x="625" y="250"/>
                    </a:lnTo>
                    <a:lnTo>
                      <a:pt x="634" y="259"/>
                    </a:lnTo>
                    <a:lnTo>
                      <a:pt x="652" y="268"/>
                    </a:lnTo>
                    <a:lnTo>
                      <a:pt x="652" y="286"/>
                    </a:lnTo>
                    <a:lnTo>
                      <a:pt x="643" y="286"/>
                    </a:lnTo>
                    <a:lnTo>
                      <a:pt x="616" y="286"/>
                    </a:lnTo>
                    <a:lnTo>
                      <a:pt x="598" y="286"/>
                    </a:lnTo>
                    <a:lnTo>
                      <a:pt x="589" y="295"/>
                    </a:lnTo>
                    <a:lnTo>
                      <a:pt x="571" y="304"/>
                    </a:lnTo>
                    <a:lnTo>
                      <a:pt x="571" y="331"/>
                    </a:lnTo>
                    <a:lnTo>
                      <a:pt x="580" y="358"/>
                    </a:lnTo>
                    <a:lnTo>
                      <a:pt x="580" y="366"/>
                    </a:lnTo>
                    <a:lnTo>
                      <a:pt x="571" y="375"/>
                    </a:lnTo>
                    <a:lnTo>
                      <a:pt x="562" y="384"/>
                    </a:lnTo>
                    <a:lnTo>
                      <a:pt x="536" y="384"/>
                    </a:lnTo>
                    <a:lnTo>
                      <a:pt x="527" y="393"/>
                    </a:lnTo>
                    <a:lnTo>
                      <a:pt x="527" y="411"/>
                    </a:lnTo>
                    <a:lnTo>
                      <a:pt x="545" y="429"/>
                    </a:lnTo>
                    <a:lnTo>
                      <a:pt x="562" y="438"/>
                    </a:lnTo>
                    <a:lnTo>
                      <a:pt x="580" y="447"/>
                    </a:lnTo>
                    <a:lnTo>
                      <a:pt x="607" y="447"/>
                    </a:lnTo>
                    <a:lnTo>
                      <a:pt x="616" y="465"/>
                    </a:lnTo>
                    <a:lnTo>
                      <a:pt x="625" y="474"/>
                    </a:lnTo>
                    <a:lnTo>
                      <a:pt x="607" y="500"/>
                    </a:lnTo>
                    <a:lnTo>
                      <a:pt x="607" y="527"/>
                    </a:lnTo>
                    <a:lnTo>
                      <a:pt x="607" y="554"/>
                    </a:lnTo>
                    <a:lnTo>
                      <a:pt x="607" y="563"/>
                    </a:lnTo>
                    <a:lnTo>
                      <a:pt x="625" y="563"/>
                    </a:lnTo>
                    <a:lnTo>
                      <a:pt x="625" y="590"/>
                    </a:lnTo>
                    <a:lnTo>
                      <a:pt x="634" y="608"/>
                    </a:lnTo>
                    <a:lnTo>
                      <a:pt x="625" y="617"/>
                    </a:lnTo>
                    <a:lnTo>
                      <a:pt x="607" y="634"/>
                    </a:lnTo>
                    <a:lnTo>
                      <a:pt x="580" y="634"/>
                    </a:lnTo>
                    <a:lnTo>
                      <a:pt x="571" y="634"/>
                    </a:lnTo>
                    <a:lnTo>
                      <a:pt x="554" y="643"/>
                    </a:lnTo>
                    <a:lnTo>
                      <a:pt x="536" y="643"/>
                    </a:lnTo>
                    <a:lnTo>
                      <a:pt x="518" y="643"/>
                    </a:lnTo>
                    <a:lnTo>
                      <a:pt x="500" y="652"/>
                    </a:lnTo>
                    <a:lnTo>
                      <a:pt x="491" y="670"/>
                    </a:lnTo>
                    <a:lnTo>
                      <a:pt x="473" y="652"/>
                    </a:lnTo>
                    <a:lnTo>
                      <a:pt x="446" y="652"/>
                    </a:lnTo>
                    <a:lnTo>
                      <a:pt x="420" y="652"/>
                    </a:lnTo>
                    <a:lnTo>
                      <a:pt x="402" y="652"/>
                    </a:lnTo>
                    <a:lnTo>
                      <a:pt x="402" y="634"/>
                    </a:lnTo>
                    <a:lnTo>
                      <a:pt x="384" y="643"/>
                    </a:lnTo>
                    <a:lnTo>
                      <a:pt x="366" y="652"/>
                    </a:lnTo>
                    <a:lnTo>
                      <a:pt x="339" y="652"/>
                    </a:lnTo>
                    <a:lnTo>
                      <a:pt x="303" y="652"/>
                    </a:lnTo>
                    <a:lnTo>
                      <a:pt x="277" y="652"/>
                    </a:lnTo>
                    <a:lnTo>
                      <a:pt x="268" y="661"/>
                    </a:lnTo>
                    <a:lnTo>
                      <a:pt x="268" y="670"/>
                    </a:lnTo>
                    <a:lnTo>
                      <a:pt x="250" y="670"/>
                    </a:lnTo>
                    <a:lnTo>
                      <a:pt x="232" y="670"/>
                    </a:lnTo>
                    <a:lnTo>
                      <a:pt x="214" y="670"/>
                    </a:lnTo>
                    <a:lnTo>
                      <a:pt x="214" y="688"/>
                    </a:lnTo>
                    <a:lnTo>
                      <a:pt x="196" y="697"/>
                    </a:lnTo>
                    <a:lnTo>
                      <a:pt x="178" y="697"/>
                    </a:lnTo>
                    <a:lnTo>
                      <a:pt x="161" y="697"/>
                    </a:lnTo>
                    <a:lnTo>
                      <a:pt x="161" y="679"/>
                    </a:lnTo>
                    <a:lnTo>
                      <a:pt x="161" y="670"/>
                    </a:lnTo>
                    <a:lnTo>
                      <a:pt x="152" y="688"/>
                    </a:lnTo>
                    <a:lnTo>
                      <a:pt x="143" y="679"/>
                    </a:lnTo>
                    <a:lnTo>
                      <a:pt x="125" y="688"/>
                    </a:lnTo>
                    <a:lnTo>
                      <a:pt x="116" y="697"/>
                    </a:lnTo>
                    <a:lnTo>
                      <a:pt x="107" y="706"/>
                    </a:lnTo>
                    <a:lnTo>
                      <a:pt x="98" y="706"/>
                    </a:lnTo>
                    <a:lnTo>
                      <a:pt x="89" y="697"/>
                    </a:lnTo>
                    <a:lnTo>
                      <a:pt x="80" y="688"/>
                    </a:lnTo>
                    <a:lnTo>
                      <a:pt x="53" y="688"/>
                    </a:lnTo>
                    <a:lnTo>
                      <a:pt x="27" y="688"/>
                    </a:lnTo>
                    <a:lnTo>
                      <a:pt x="9" y="688"/>
                    </a:lnTo>
                    <a:lnTo>
                      <a:pt x="0" y="679"/>
                    </a:lnTo>
                    <a:close/>
                  </a:path>
                </a:pathLst>
              </a:custGeom>
              <a:solidFill>
                <a:srgbClr val="8EB4E3"/>
              </a:solidFill>
              <a:ln w="21590" cmpd="sng">
                <a:solidFill>
                  <a:srgbClr val="FFFFFF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50" name="Freeform 57">
                <a:extLst>
                  <a:ext uri="{FF2B5EF4-FFF2-40B4-BE49-F238E27FC236}">
                    <a16:creationId xmlns:a16="http://schemas.microsoft.com/office/drawing/2014/main" id="{9E2C6773-A7D4-448C-9090-A700EDB5EAB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4326" y="5988"/>
                <a:ext cx="1644" cy="1525"/>
              </a:xfrm>
              <a:custGeom>
                <a:avLst/>
                <a:gdLst>
                  <a:gd name="T0" fmla="*/ 607 w 741"/>
                  <a:gd name="T1" fmla="*/ 331 h 643"/>
                  <a:gd name="T2" fmla="*/ 598 w 741"/>
                  <a:gd name="T3" fmla="*/ 331 h 643"/>
                  <a:gd name="T4" fmla="*/ 580 w 741"/>
                  <a:gd name="T5" fmla="*/ 331 h 643"/>
                  <a:gd name="T6" fmla="*/ 562 w 741"/>
                  <a:gd name="T7" fmla="*/ 331 h 643"/>
                  <a:gd name="T8" fmla="*/ 562 w 741"/>
                  <a:gd name="T9" fmla="*/ 313 h 643"/>
                  <a:gd name="T10" fmla="*/ 554 w 741"/>
                  <a:gd name="T11" fmla="*/ 304 h 643"/>
                  <a:gd name="T12" fmla="*/ 562 w 741"/>
                  <a:gd name="T13" fmla="*/ 286 h 643"/>
                  <a:gd name="T14" fmla="*/ 571 w 741"/>
                  <a:gd name="T15" fmla="*/ 277 h 643"/>
                  <a:gd name="T16" fmla="*/ 580 w 741"/>
                  <a:gd name="T17" fmla="*/ 277 h 643"/>
                  <a:gd name="T18" fmla="*/ 589 w 741"/>
                  <a:gd name="T19" fmla="*/ 268 h 643"/>
                  <a:gd name="T20" fmla="*/ 589 w 741"/>
                  <a:gd name="T21" fmla="*/ 241 h 643"/>
                  <a:gd name="T22" fmla="*/ 580 w 741"/>
                  <a:gd name="T23" fmla="*/ 214 h 643"/>
                  <a:gd name="T24" fmla="*/ 571 w 741"/>
                  <a:gd name="T25" fmla="*/ 197 h 643"/>
                  <a:gd name="T26" fmla="*/ 562 w 741"/>
                  <a:gd name="T27" fmla="*/ 188 h 643"/>
                  <a:gd name="T28" fmla="*/ 554 w 741"/>
                  <a:gd name="T29" fmla="*/ 179 h 643"/>
                  <a:gd name="T30" fmla="*/ 536 w 741"/>
                  <a:gd name="T31" fmla="*/ 179 h 643"/>
                  <a:gd name="T32" fmla="*/ 536 w 741"/>
                  <a:gd name="T33" fmla="*/ 170 h 643"/>
                  <a:gd name="T34" fmla="*/ 545 w 741"/>
                  <a:gd name="T35" fmla="*/ 152 h 643"/>
                  <a:gd name="T36" fmla="*/ 536 w 741"/>
                  <a:gd name="T37" fmla="*/ 143 h 643"/>
                  <a:gd name="T38" fmla="*/ 527 w 741"/>
                  <a:gd name="T39" fmla="*/ 152 h 643"/>
                  <a:gd name="T40" fmla="*/ 509 w 741"/>
                  <a:gd name="T41" fmla="*/ 143 h 643"/>
                  <a:gd name="T42" fmla="*/ 500 w 741"/>
                  <a:gd name="T43" fmla="*/ 143 h 643"/>
                  <a:gd name="T44" fmla="*/ 482 w 741"/>
                  <a:gd name="T45" fmla="*/ 134 h 643"/>
                  <a:gd name="T46" fmla="*/ 482 w 741"/>
                  <a:gd name="T47" fmla="*/ 143 h 643"/>
                  <a:gd name="T48" fmla="*/ 464 w 741"/>
                  <a:gd name="T49" fmla="*/ 143 h 643"/>
                  <a:gd name="T50" fmla="*/ 446 w 741"/>
                  <a:gd name="T51" fmla="*/ 143 h 643"/>
                  <a:gd name="T52" fmla="*/ 437 w 741"/>
                  <a:gd name="T53" fmla="*/ 125 h 643"/>
                  <a:gd name="T54" fmla="*/ 437 w 741"/>
                  <a:gd name="T55" fmla="*/ 107 h 643"/>
                  <a:gd name="T56" fmla="*/ 428 w 741"/>
                  <a:gd name="T57" fmla="*/ 72 h 643"/>
                  <a:gd name="T58" fmla="*/ 428 w 741"/>
                  <a:gd name="T59" fmla="*/ 36 h 643"/>
                  <a:gd name="T60" fmla="*/ 437 w 741"/>
                  <a:gd name="T61" fmla="*/ 9 h 643"/>
                  <a:gd name="T62" fmla="*/ 446 w 741"/>
                  <a:gd name="T63" fmla="*/ 9 h 643"/>
                  <a:gd name="T64" fmla="*/ 428 w 741"/>
                  <a:gd name="T65" fmla="*/ 0 h 643"/>
                  <a:gd name="T66" fmla="*/ 384 w 741"/>
                  <a:gd name="T67" fmla="*/ 0 h 643"/>
                  <a:gd name="T68" fmla="*/ 339 w 741"/>
                  <a:gd name="T69" fmla="*/ 27 h 643"/>
                  <a:gd name="T70" fmla="*/ 348 w 741"/>
                  <a:gd name="T71" fmla="*/ 125 h 643"/>
                  <a:gd name="T72" fmla="*/ 232 w 741"/>
                  <a:gd name="T73" fmla="*/ 143 h 643"/>
                  <a:gd name="T74" fmla="*/ 214 w 741"/>
                  <a:gd name="T75" fmla="*/ 125 h 643"/>
                  <a:gd name="T76" fmla="*/ 205 w 741"/>
                  <a:gd name="T77" fmla="*/ 116 h 643"/>
                  <a:gd name="T78" fmla="*/ 205 w 741"/>
                  <a:gd name="T79" fmla="*/ 63 h 643"/>
                  <a:gd name="T80" fmla="*/ 169 w 741"/>
                  <a:gd name="T81" fmla="*/ 89 h 643"/>
                  <a:gd name="T82" fmla="*/ 107 w 741"/>
                  <a:gd name="T83" fmla="*/ 179 h 643"/>
                  <a:gd name="T84" fmla="*/ 89 w 741"/>
                  <a:gd name="T85" fmla="*/ 259 h 643"/>
                  <a:gd name="T86" fmla="*/ 53 w 741"/>
                  <a:gd name="T87" fmla="*/ 339 h 643"/>
                  <a:gd name="T88" fmla="*/ 18 w 741"/>
                  <a:gd name="T89" fmla="*/ 402 h 643"/>
                  <a:gd name="T90" fmla="*/ 80 w 741"/>
                  <a:gd name="T91" fmla="*/ 473 h 643"/>
                  <a:gd name="T92" fmla="*/ 107 w 741"/>
                  <a:gd name="T93" fmla="*/ 581 h 643"/>
                  <a:gd name="T94" fmla="*/ 268 w 741"/>
                  <a:gd name="T95" fmla="*/ 616 h 643"/>
                  <a:gd name="T96" fmla="*/ 375 w 741"/>
                  <a:gd name="T97" fmla="*/ 643 h 643"/>
                  <a:gd name="T98" fmla="*/ 437 w 741"/>
                  <a:gd name="T99" fmla="*/ 590 h 643"/>
                  <a:gd name="T100" fmla="*/ 509 w 741"/>
                  <a:gd name="T101" fmla="*/ 563 h 643"/>
                  <a:gd name="T102" fmla="*/ 545 w 741"/>
                  <a:gd name="T103" fmla="*/ 438 h 643"/>
                  <a:gd name="T104" fmla="*/ 634 w 741"/>
                  <a:gd name="T105" fmla="*/ 464 h 643"/>
                  <a:gd name="T106" fmla="*/ 679 w 741"/>
                  <a:gd name="T107" fmla="*/ 447 h 643"/>
                  <a:gd name="T108" fmla="*/ 741 w 741"/>
                  <a:gd name="T109" fmla="*/ 393 h 643"/>
                  <a:gd name="T110" fmla="*/ 652 w 741"/>
                  <a:gd name="T111" fmla="*/ 322 h 64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</a:cxnLst>
                <a:rect l="0" t="0" r="r" b="b"/>
                <a:pathLst>
                  <a:path w="741" h="643">
                    <a:moveTo>
                      <a:pt x="607" y="322"/>
                    </a:moveTo>
                    <a:lnTo>
                      <a:pt x="607" y="322"/>
                    </a:lnTo>
                    <a:lnTo>
                      <a:pt x="607" y="322"/>
                    </a:lnTo>
                    <a:lnTo>
                      <a:pt x="607" y="331"/>
                    </a:lnTo>
                    <a:lnTo>
                      <a:pt x="607" y="331"/>
                    </a:lnTo>
                    <a:lnTo>
                      <a:pt x="607" y="331"/>
                    </a:lnTo>
                    <a:lnTo>
                      <a:pt x="607" y="331"/>
                    </a:lnTo>
                    <a:lnTo>
                      <a:pt x="607" y="331"/>
                    </a:lnTo>
                    <a:lnTo>
                      <a:pt x="607" y="331"/>
                    </a:lnTo>
                    <a:lnTo>
                      <a:pt x="598" y="331"/>
                    </a:lnTo>
                    <a:lnTo>
                      <a:pt x="598" y="331"/>
                    </a:lnTo>
                    <a:lnTo>
                      <a:pt x="598" y="331"/>
                    </a:lnTo>
                    <a:lnTo>
                      <a:pt x="589" y="331"/>
                    </a:lnTo>
                    <a:lnTo>
                      <a:pt x="589" y="331"/>
                    </a:lnTo>
                    <a:lnTo>
                      <a:pt x="589" y="331"/>
                    </a:lnTo>
                    <a:lnTo>
                      <a:pt x="580" y="331"/>
                    </a:lnTo>
                    <a:lnTo>
                      <a:pt x="580" y="331"/>
                    </a:lnTo>
                    <a:lnTo>
                      <a:pt x="580" y="331"/>
                    </a:lnTo>
                    <a:lnTo>
                      <a:pt x="571" y="331"/>
                    </a:lnTo>
                    <a:lnTo>
                      <a:pt x="571" y="331"/>
                    </a:lnTo>
                    <a:lnTo>
                      <a:pt x="571" y="331"/>
                    </a:lnTo>
                    <a:lnTo>
                      <a:pt x="571" y="331"/>
                    </a:lnTo>
                    <a:lnTo>
                      <a:pt x="562" y="331"/>
                    </a:lnTo>
                    <a:lnTo>
                      <a:pt x="562" y="331"/>
                    </a:lnTo>
                    <a:lnTo>
                      <a:pt x="562" y="331"/>
                    </a:lnTo>
                    <a:lnTo>
                      <a:pt x="562" y="331"/>
                    </a:lnTo>
                    <a:lnTo>
                      <a:pt x="562" y="322"/>
                    </a:lnTo>
                    <a:lnTo>
                      <a:pt x="562" y="322"/>
                    </a:lnTo>
                    <a:lnTo>
                      <a:pt x="562" y="322"/>
                    </a:lnTo>
                    <a:lnTo>
                      <a:pt x="562" y="313"/>
                    </a:lnTo>
                    <a:lnTo>
                      <a:pt x="554" y="313"/>
                    </a:lnTo>
                    <a:lnTo>
                      <a:pt x="554" y="313"/>
                    </a:lnTo>
                    <a:lnTo>
                      <a:pt x="554" y="313"/>
                    </a:lnTo>
                    <a:lnTo>
                      <a:pt x="554" y="304"/>
                    </a:lnTo>
                    <a:lnTo>
                      <a:pt x="554" y="304"/>
                    </a:lnTo>
                    <a:lnTo>
                      <a:pt x="554" y="304"/>
                    </a:lnTo>
                    <a:lnTo>
                      <a:pt x="554" y="295"/>
                    </a:lnTo>
                    <a:lnTo>
                      <a:pt x="562" y="295"/>
                    </a:lnTo>
                    <a:lnTo>
                      <a:pt x="562" y="295"/>
                    </a:lnTo>
                    <a:lnTo>
                      <a:pt x="562" y="286"/>
                    </a:lnTo>
                    <a:lnTo>
                      <a:pt x="562" y="286"/>
                    </a:lnTo>
                    <a:lnTo>
                      <a:pt x="562" y="286"/>
                    </a:lnTo>
                    <a:lnTo>
                      <a:pt x="562" y="286"/>
                    </a:lnTo>
                    <a:lnTo>
                      <a:pt x="562" y="286"/>
                    </a:lnTo>
                    <a:lnTo>
                      <a:pt x="571" y="286"/>
                    </a:lnTo>
                    <a:lnTo>
                      <a:pt x="571" y="286"/>
                    </a:lnTo>
                    <a:lnTo>
                      <a:pt x="571" y="277"/>
                    </a:lnTo>
                    <a:lnTo>
                      <a:pt x="571" y="277"/>
                    </a:lnTo>
                    <a:lnTo>
                      <a:pt x="571" y="277"/>
                    </a:lnTo>
                    <a:lnTo>
                      <a:pt x="580" y="277"/>
                    </a:lnTo>
                    <a:lnTo>
                      <a:pt x="580" y="277"/>
                    </a:lnTo>
                    <a:lnTo>
                      <a:pt x="580" y="277"/>
                    </a:lnTo>
                    <a:lnTo>
                      <a:pt x="580" y="277"/>
                    </a:lnTo>
                    <a:lnTo>
                      <a:pt x="580" y="277"/>
                    </a:lnTo>
                    <a:lnTo>
                      <a:pt x="580" y="277"/>
                    </a:lnTo>
                    <a:lnTo>
                      <a:pt x="589" y="277"/>
                    </a:lnTo>
                    <a:lnTo>
                      <a:pt x="589" y="277"/>
                    </a:lnTo>
                    <a:lnTo>
                      <a:pt x="589" y="277"/>
                    </a:lnTo>
                    <a:lnTo>
                      <a:pt x="589" y="268"/>
                    </a:lnTo>
                    <a:lnTo>
                      <a:pt x="589" y="268"/>
                    </a:lnTo>
                    <a:lnTo>
                      <a:pt x="589" y="259"/>
                    </a:lnTo>
                    <a:lnTo>
                      <a:pt x="589" y="259"/>
                    </a:lnTo>
                    <a:lnTo>
                      <a:pt x="589" y="250"/>
                    </a:lnTo>
                    <a:lnTo>
                      <a:pt x="589" y="250"/>
                    </a:lnTo>
                    <a:lnTo>
                      <a:pt x="589" y="241"/>
                    </a:lnTo>
                    <a:lnTo>
                      <a:pt x="589" y="241"/>
                    </a:lnTo>
                    <a:lnTo>
                      <a:pt x="589" y="241"/>
                    </a:lnTo>
                    <a:lnTo>
                      <a:pt x="589" y="232"/>
                    </a:lnTo>
                    <a:lnTo>
                      <a:pt x="580" y="232"/>
                    </a:lnTo>
                    <a:lnTo>
                      <a:pt x="580" y="223"/>
                    </a:lnTo>
                    <a:lnTo>
                      <a:pt x="580" y="223"/>
                    </a:lnTo>
                    <a:lnTo>
                      <a:pt x="580" y="214"/>
                    </a:lnTo>
                    <a:lnTo>
                      <a:pt x="580" y="214"/>
                    </a:lnTo>
                    <a:lnTo>
                      <a:pt x="580" y="206"/>
                    </a:lnTo>
                    <a:lnTo>
                      <a:pt x="580" y="206"/>
                    </a:lnTo>
                    <a:lnTo>
                      <a:pt x="580" y="206"/>
                    </a:lnTo>
                    <a:lnTo>
                      <a:pt x="571" y="197"/>
                    </a:lnTo>
                    <a:lnTo>
                      <a:pt x="571" y="197"/>
                    </a:lnTo>
                    <a:lnTo>
                      <a:pt x="571" y="197"/>
                    </a:lnTo>
                    <a:lnTo>
                      <a:pt x="571" y="188"/>
                    </a:lnTo>
                    <a:lnTo>
                      <a:pt x="571" y="188"/>
                    </a:lnTo>
                    <a:lnTo>
                      <a:pt x="562" y="188"/>
                    </a:lnTo>
                    <a:lnTo>
                      <a:pt x="562" y="188"/>
                    </a:lnTo>
                    <a:lnTo>
                      <a:pt x="562" y="188"/>
                    </a:lnTo>
                    <a:lnTo>
                      <a:pt x="562" y="188"/>
                    </a:lnTo>
                    <a:lnTo>
                      <a:pt x="562" y="188"/>
                    </a:lnTo>
                    <a:lnTo>
                      <a:pt x="554" y="188"/>
                    </a:lnTo>
                    <a:lnTo>
                      <a:pt x="554" y="188"/>
                    </a:lnTo>
                    <a:lnTo>
                      <a:pt x="554" y="179"/>
                    </a:lnTo>
                    <a:lnTo>
                      <a:pt x="554" y="179"/>
                    </a:lnTo>
                    <a:lnTo>
                      <a:pt x="545" y="179"/>
                    </a:lnTo>
                    <a:lnTo>
                      <a:pt x="545" y="179"/>
                    </a:lnTo>
                    <a:lnTo>
                      <a:pt x="545" y="179"/>
                    </a:lnTo>
                    <a:lnTo>
                      <a:pt x="545" y="179"/>
                    </a:lnTo>
                    <a:lnTo>
                      <a:pt x="545" y="179"/>
                    </a:lnTo>
                    <a:lnTo>
                      <a:pt x="536" y="179"/>
                    </a:lnTo>
                    <a:lnTo>
                      <a:pt x="536" y="179"/>
                    </a:lnTo>
                    <a:lnTo>
                      <a:pt x="536" y="179"/>
                    </a:lnTo>
                    <a:lnTo>
                      <a:pt x="536" y="179"/>
                    </a:lnTo>
                    <a:lnTo>
                      <a:pt x="536" y="170"/>
                    </a:lnTo>
                    <a:lnTo>
                      <a:pt x="536" y="170"/>
                    </a:lnTo>
                    <a:lnTo>
                      <a:pt x="536" y="170"/>
                    </a:lnTo>
                    <a:lnTo>
                      <a:pt x="536" y="161"/>
                    </a:lnTo>
                    <a:lnTo>
                      <a:pt x="536" y="161"/>
                    </a:lnTo>
                    <a:lnTo>
                      <a:pt x="536" y="161"/>
                    </a:lnTo>
                    <a:lnTo>
                      <a:pt x="536" y="161"/>
                    </a:lnTo>
                    <a:lnTo>
                      <a:pt x="545" y="152"/>
                    </a:lnTo>
                    <a:lnTo>
                      <a:pt x="545" y="152"/>
                    </a:lnTo>
                    <a:lnTo>
                      <a:pt x="545" y="152"/>
                    </a:lnTo>
                    <a:lnTo>
                      <a:pt x="545" y="152"/>
                    </a:lnTo>
                    <a:lnTo>
                      <a:pt x="545" y="152"/>
                    </a:lnTo>
                    <a:lnTo>
                      <a:pt x="545" y="152"/>
                    </a:lnTo>
                    <a:lnTo>
                      <a:pt x="545" y="152"/>
                    </a:lnTo>
                    <a:lnTo>
                      <a:pt x="536" y="143"/>
                    </a:lnTo>
                    <a:lnTo>
                      <a:pt x="536" y="143"/>
                    </a:lnTo>
                    <a:lnTo>
                      <a:pt x="536" y="143"/>
                    </a:lnTo>
                    <a:lnTo>
                      <a:pt x="536" y="152"/>
                    </a:lnTo>
                    <a:lnTo>
                      <a:pt x="536" y="152"/>
                    </a:lnTo>
                    <a:lnTo>
                      <a:pt x="527" y="152"/>
                    </a:lnTo>
                    <a:lnTo>
                      <a:pt x="527" y="152"/>
                    </a:lnTo>
                    <a:lnTo>
                      <a:pt x="527" y="152"/>
                    </a:lnTo>
                    <a:lnTo>
                      <a:pt x="527" y="152"/>
                    </a:lnTo>
                    <a:lnTo>
                      <a:pt x="518" y="152"/>
                    </a:lnTo>
                    <a:lnTo>
                      <a:pt x="518" y="152"/>
                    </a:lnTo>
                    <a:lnTo>
                      <a:pt x="518" y="152"/>
                    </a:lnTo>
                    <a:lnTo>
                      <a:pt x="509" y="143"/>
                    </a:lnTo>
                    <a:lnTo>
                      <a:pt x="509" y="143"/>
                    </a:lnTo>
                    <a:lnTo>
                      <a:pt x="509" y="143"/>
                    </a:lnTo>
                    <a:lnTo>
                      <a:pt x="500" y="143"/>
                    </a:lnTo>
                    <a:lnTo>
                      <a:pt x="500" y="143"/>
                    </a:lnTo>
                    <a:lnTo>
                      <a:pt x="500" y="143"/>
                    </a:lnTo>
                    <a:lnTo>
                      <a:pt x="500" y="143"/>
                    </a:lnTo>
                    <a:lnTo>
                      <a:pt x="491" y="134"/>
                    </a:lnTo>
                    <a:lnTo>
                      <a:pt x="491" y="134"/>
                    </a:lnTo>
                    <a:lnTo>
                      <a:pt x="491" y="134"/>
                    </a:lnTo>
                    <a:lnTo>
                      <a:pt x="491" y="134"/>
                    </a:lnTo>
                    <a:lnTo>
                      <a:pt x="491" y="134"/>
                    </a:lnTo>
                    <a:lnTo>
                      <a:pt x="482" y="134"/>
                    </a:lnTo>
                    <a:lnTo>
                      <a:pt x="482" y="134"/>
                    </a:lnTo>
                    <a:lnTo>
                      <a:pt x="482" y="134"/>
                    </a:lnTo>
                    <a:lnTo>
                      <a:pt x="482" y="134"/>
                    </a:lnTo>
                    <a:lnTo>
                      <a:pt x="482" y="134"/>
                    </a:lnTo>
                    <a:lnTo>
                      <a:pt x="482" y="134"/>
                    </a:lnTo>
                    <a:lnTo>
                      <a:pt x="482" y="143"/>
                    </a:lnTo>
                    <a:lnTo>
                      <a:pt x="482" y="143"/>
                    </a:lnTo>
                    <a:lnTo>
                      <a:pt x="482" y="143"/>
                    </a:lnTo>
                    <a:lnTo>
                      <a:pt x="473" y="143"/>
                    </a:lnTo>
                    <a:lnTo>
                      <a:pt x="473" y="143"/>
                    </a:lnTo>
                    <a:lnTo>
                      <a:pt x="473" y="143"/>
                    </a:lnTo>
                    <a:lnTo>
                      <a:pt x="464" y="143"/>
                    </a:lnTo>
                    <a:lnTo>
                      <a:pt x="464" y="143"/>
                    </a:lnTo>
                    <a:lnTo>
                      <a:pt x="464" y="143"/>
                    </a:lnTo>
                    <a:lnTo>
                      <a:pt x="464" y="143"/>
                    </a:lnTo>
                    <a:lnTo>
                      <a:pt x="455" y="143"/>
                    </a:lnTo>
                    <a:lnTo>
                      <a:pt x="455" y="143"/>
                    </a:lnTo>
                    <a:lnTo>
                      <a:pt x="446" y="143"/>
                    </a:lnTo>
                    <a:lnTo>
                      <a:pt x="446" y="143"/>
                    </a:lnTo>
                    <a:lnTo>
                      <a:pt x="446" y="134"/>
                    </a:lnTo>
                    <a:lnTo>
                      <a:pt x="437" y="134"/>
                    </a:lnTo>
                    <a:lnTo>
                      <a:pt x="437" y="134"/>
                    </a:lnTo>
                    <a:lnTo>
                      <a:pt x="437" y="134"/>
                    </a:lnTo>
                    <a:lnTo>
                      <a:pt x="437" y="125"/>
                    </a:lnTo>
                    <a:lnTo>
                      <a:pt x="437" y="125"/>
                    </a:lnTo>
                    <a:lnTo>
                      <a:pt x="437" y="125"/>
                    </a:lnTo>
                    <a:lnTo>
                      <a:pt x="437" y="116"/>
                    </a:lnTo>
                    <a:lnTo>
                      <a:pt x="437" y="116"/>
                    </a:lnTo>
                    <a:lnTo>
                      <a:pt x="437" y="116"/>
                    </a:lnTo>
                    <a:lnTo>
                      <a:pt x="437" y="107"/>
                    </a:lnTo>
                    <a:lnTo>
                      <a:pt x="437" y="107"/>
                    </a:lnTo>
                    <a:lnTo>
                      <a:pt x="437" y="98"/>
                    </a:lnTo>
                    <a:lnTo>
                      <a:pt x="437" y="89"/>
                    </a:lnTo>
                    <a:lnTo>
                      <a:pt x="437" y="89"/>
                    </a:lnTo>
                    <a:lnTo>
                      <a:pt x="428" y="81"/>
                    </a:lnTo>
                    <a:lnTo>
                      <a:pt x="428" y="72"/>
                    </a:lnTo>
                    <a:lnTo>
                      <a:pt x="428" y="63"/>
                    </a:lnTo>
                    <a:lnTo>
                      <a:pt x="428" y="54"/>
                    </a:lnTo>
                    <a:lnTo>
                      <a:pt x="428" y="54"/>
                    </a:lnTo>
                    <a:lnTo>
                      <a:pt x="428" y="45"/>
                    </a:lnTo>
                    <a:lnTo>
                      <a:pt x="428" y="36"/>
                    </a:lnTo>
                    <a:lnTo>
                      <a:pt x="428" y="36"/>
                    </a:lnTo>
                    <a:lnTo>
                      <a:pt x="428" y="27"/>
                    </a:lnTo>
                    <a:lnTo>
                      <a:pt x="428" y="27"/>
                    </a:lnTo>
                    <a:lnTo>
                      <a:pt x="437" y="18"/>
                    </a:lnTo>
                    <a:lnTo>
                      <a:pt x="437" y="18"/>
                    </a:lnTo>
                    <a:lnTo>
                      <a:pt x="437" y="18"/>
                    </a:lnTo>
                    <a:lnTo>
                      <a:pt x="437" y="9"/>
                    </a:lnTo>
                    <a:lnTo>
                      <a:pt x="437" y="9"/>
                    </a:lnTo>
                    <a:lnTo>
                      <a:pt x="437" y="9"/>
                    </a:lnTo>
                    <a:lnTo>
                      <a:pt x="437" y="9"/>
                    </a:lnTo>
                    <a:lnTo>
                      <a:pt x="437" y="9"/>
                    </a:lnTo>
                    <a:lnTo>
                      <a:pt x="446" y="9"/>
                    </a:lnTo>
                    <a:lnTo>
                      <a:pt x="446" y="9"/>
                    </a:lnTo>
                    <a:lnTo>
                      <a:pt x="446" y="9"/>
                    </a:lnTo>
                    <a:lnTo>
                      <a:pt x="446" y="9"/>
                    </a:lnTo>
                    <a:lnTo>
                      <a:pt x="437" y="9"/>
                    </a:lnTo>
                    <a:lnTo>
                      <a:pt x="437" y="9"/>
                    </a:lnTo>
                    <a:lnTo>
                      <a:pt x="437" y="0"/>
                    </a:lnTo>
                    <a:lnTo>
                      <a:pt x="428" y="0"/>
                    </a:lnTo>
                    <a:lnTo>
                      <a:pt x="428" y="0"/>
                    </a:lnTo>
                    <a:lnTo>
                      <a:pt x="428" y="0"/>
                    </a:lnTo>
                    <a:lnTo>
                      <a:pt x="428" y="0"/>
                    </a:lnTo>
                    <a:lnTo>
                      <a:pt x="411" y="0"/>
                    </a:lnTo>
                    <a:lnTo>
                      <a:pt x="402" y="0"/>
                    </a:lnTo>
                    <a:lnTo>
                      <a:pt x="384" y="0"/>
                    </a:lnTo>
                    <a:lnTo>
                      <a:pt x="375" y="0"/>
                    </a:lnTo>
                    <a:lnTo>
                      <a:pt x="366" y="9"/>
                    </a:lnTo>
                    <a:lnTo>
                      <a:pt x="348" y="9"/>
                    </a:lnTo>
                    <a:lnTo>
                      <a:pt x="348" y="18"/>
                    </a:lnTo>
                    <a:lnTo>
                      <a:pt x="339" y="18"/>
                    </a:lnTo>
                    <a:lnTo>
                      <a:pt x="339" y="27"/>
                    </a:lnTo>
                    <a:lnTo>
                      <a:pt x="348" y="45"/>
                    </a:lnTo>
                    <a:lnTo>
                      <a:pt x="348" y="63"/>
                    </a:lnTo>
                    <a:lnTo>
                      <a:pt x="348" y="89"/>
                    </a:lnTo>
                    <a:lnTo>
                      <a:pt x="366" y="98"/>
                    </a:lnTo>
                    <a:lnTo>
                      <a:pt x="357" y="116"/>
                    </a:lnTo>
                    <a:lnTo>
                      <a:pt x="348" y="125"/>
                    </a:lnTo>
                    <a:lnTo>
                      <a:pt x="339" y="143"/>
                    </a:lnTo>
                    <a:lnTo>
                      <a:pt x="312" y="152"/>
                    </a:lnTo>
                    <a:lnTo>
                      <a:pt x="294" y="161"/>
                    </a:lnTo>
                    <a:lnTo>
                      <a:pt x="277" y="170"/>
                    </a:lnTo>
                    <a:lnTo>
                      <a:pt x="259" y="161"/>
                    </a:lnTo>
                    <a:lnTo>
                      <a:pt x="232" y="143"/>
                    </a:lnTo>
                    <a:lnTo>
                      <a:pt x="232" y="143"/>
                    </a:lnTo>
                    <a:lnTo>
                      <a:pt x="232" y="134"/>
                    </a:lnTo>
                    <a:lnTo>
                      <a:pt x="232" y="134"/>
                    </a:lnTo>
                    <a:lnTo>
                      <a:pt x="223" y="134"/>
                    </a:lnTo>
                    <a:lnTo>
                      <a:pt x="223" y="134"/>
                    </a:lnTo>
                    <a:lnTo>
                      <a:pt x="214" y="125"/>
                    </a:lnTo>
                    <a:lnTo>
                      <a:pt x="214" y="125"/>
                    </a:lnTo>
                    <a:lnTo>
                      <a:pt x="214" y="125"/>
                    </a:lnTo>
                    <a:lnTo>
                      <a:pt x="214" y="125"/>
                    </a:lnTo>
                    <a:lnTo>
                      <a:pt x="214" y="116"/>
                    </a:lnTo>
                    <a:lnTo>
                      <a:pt x="205" y="116"/>
                    </a:lnTo>
                    <a:lnTo>
                      <a:pt x="205" y="116"/>
                    </a:lnTo>
                    <a:lnTo>
                      <a:pt x="205" y="107"/>
                    </a:lnTo>
                    <a:lnTo>
                      <a:pt x="196" y="107"/>
                    </a:lnTo>
                    <a:lnTo>
                      <a:pt x="196" y="107"/>
                    </a:lnTo>
                    <a:lnTo>
                      <a:pt x="196" y="107"/>
                    </a:lnTo>
                    <a:lnTo>
                      <a:pt x="196" y="89"/>
                    </a:lnTo>
                    <a:lnTo>
                      <a:pt x="205" y="63"/>
                    </a:lnTo>
                    <a:lnTo>
                      <a:pt x="205" y="45"/>
                    </a:lnTo>
                    <a:lnTo>
                      <a:pt x="196" y="54"/>
                    </a:lnTo>
                    <a:lnTo>
                      <a:pt x="178" y="54"/>
                    </a:lnTo>
                    <a:lnTo>
                      <a:pt x="178" y="72"/>
                    </a:lnTo>
                    <a:lnTo>
                      <a:pt x="178" y="89"/>
                    </a:lnTo>
                    <a:lnTo>
                      <a:pt x="169" y="89"/>
                    </a:lnTo>
                    <a:lnTo>
                      <a:pt x="152" y="98"/>
                    </a:lnTo>
                    <a:lnTo>
                      <a:pt x="152" y="116"/>
                    </a:lnTo>
                    <a:lnTo>
                      <a:pt x="152" y="134"/>
                    </a:lnTo>
                    <a:lnTo>
                      <a:pt x="134" y="152"/>
                    </a:lnTo>
                    <a:lnTo>
                      <a:pt x="125" y="170"/>
                    </a:lnTo>
                    <a:lnTo>
                      <a:pt x="107" y="179"/>
                    </a:lnTo>
                    <a:lnTo>
                      <a:pt x="98" y="223"/>
                    </a:lnTo>
                    <a:lnTo>
                      <a:pt x="107" y="232"/>
                    </a:lnTo>
                    <a:lnTo>
                      <a:pt x="125" y="241"/>
                    </a:lnTo>
                    <a:lnTo>
                      <a:pt x="125" y="259"/>
                    </a:lnTo>
                    <a:lnTo>
                      <a:pt x="116" y="259"/>
                    </a:lnTo>
                    <a:lnTo>
                      <a:pt x="89" y="259"/>
                    </a:lnTo>
                    <a:lnTo>
                      <a:pt x="71" y="259"/>
                    </a:lnTo>
                    <a:lnTo>
                      <a:pt x="62" y="268"/>
                    </a:lnTo>
                    <a:lnTo>
                      <a:pt x="44" y="277"/>
                    </a:lnTo>
                    <a:lnTo>
                      <a:pt x="44" y="304"/>
                    </a:lnTo>
                    <a:lnTo>
                      <a:pt x="53" y="331"/>
                    </a:lnTo>
                    <a:lnTo>
                      <a:pt x="53" y="339"/>
                    </a:lnTo>
                    <a:lnTo>
                      <a:pt x="44" y="348"/>
                    </a:lnTo>
                    <a:lnTo>
                      <a:pt x="35" y="357"/>
                    </a:lnTo>
                    <a:lnTo>
                      <a:pt x="9" y="357"/>
                    </a:lnTo>
                    <a:lnTo>
                      <a:pt x="0" y="366"/>
                    </a:lnTo>
                    <a:lnTo>
                      <a:pt x="0" y="384"/>
                    </a:lnTo>
                    <a:lnTo>
                      <a:pt x="18" y="402"/>
                    </a:lnTo>
                    <a:lnTo>
                      <a:pt x="35" y="411"/>
                    </a:lnTo>
                    <a:lnTo>
                      <a:pt x="53" y="420"/>
                    </a:lnTo>
                    <a:lnTo>
                      <a:pt x="80" y="420"/>
                    </a:lnTo>
                    <a:lnTo>
                      <a:pt x="89" y="438"/>
                    </a:lnTo>
                    <a:lnTo>
                      <a:pt x="98" y="447"/>
                    </a:lnTo>
                    <a:lnTo>
                      <a:pt x="80" y="473"/>
                    </a:lnTo>
                    <a:lnTo>
                      <a:pt x="80" y="500"/>
                    </a:lnTo>
                    <a:lnTo>
                      <a:pt x="80" y="527"/>
                    </a:lnTo>
                    <a:lnTo>
                      <a:pt x="80" y="536"/>
                    </a:lnTo>
                    <a:lnTo>
                      <a:pt x="98" y="536"/>
                    </a:lnTo>
                    <a:lnTo>
                      <a:pt x="98" y="563"/>
                    </a:lnTo>
                    <a:lnTo>
                      <a:pt x="107" y="581"/>
                    </a:lnTo>
                    <a:lnTo>
                      <a:pt x="125" y="581"/>
                    </a:lnTo>
                    <a:lnTo>
                      <a:pt x="169" y="581"/>
                    </a:lnTo>
                    <a:lnTo>
                      <a:pt x="214" y="581"/>
                    </a:lnTo>
                    <a:lnTo>
                      <a:pt x="241" y="590"/>
                    </a:lnTo>
                    <a:lnTo>
                      <a:pt x="250" y="607"/>
                    </a:lnTo>
                    <a:lnTo>
                      <a:pt x="268" y="616"/>
                    </a:lnTo>
                    <a:lnTo>
                      <a:pt x="277" y="616"/>
                    </a:lnTo>
                    <a:lnTo>
                      <a:pt x="312" y="598"/>
                    </a:lnTo>
                    <a:lnTo>
                      <a:pt x="330" y="598"/>
                    </a:lnTo>
                    <a:lnTo>
                      <a:pt x="348" y="625"/>
                    </a:lnTo>
                    <a:lnTo>
                      <a:pt x="357" y="643"/>
                    </a:lnTo>
                    <a:lnTo>
                      <a:pt x="375" y="643"/>
                    </a:lnTo>
                    <a:lnTo>
                      <a:pt x="393" y="643"/>
                    </a:lnTo>
                    <a:lnTo>
                      <a:pt x="411" y="643"/>
                    </a:lnTo>
                    <a:lnTo>
                      <a:pt x="420" y="634"/>
                    </a:lnTo>
                    <a:lnTo>
                      <a:pt x="428" y="616"/>
                    </a:lnTo>
                    <a:lnTo>
                      <a:pt x="437" y="598"/>
                    </a:lnTo>
                    <a:lnTo>
                      <a:pt x="437" y="590"/>
                    </a:lnTo>
                    <a:lnTo>
                      <a:pt x="437" y="572"/>
                    </a:lnTo>
                    <a:lnTo>
                      <a:pt x="446" y="572"/>
                    </a:lnTo>
                    <a:lnTo>
                      <a:pt x="455" y="572"/>
                    </a:lnTo>
                    <a:lnTo>
                      <a:pt x="473" y="563"/>
                    </a:lnTo>
                    <a:lnTo>
                      <a:pt x="482" y="554"/>
                    </a:lnTo>
                    <a:lnTo>
                      <a:pt x="509" y="563"/>
                    </a:lnTo>
                    <a:lnTo>
                      <a:pt x="509" y="545"/>
                    </a:lnTo>
                    <a:lnTo>
                      <a:pt x="509" y="509"/>
                    </a:lnTo>
                    <a:lnTo>
                      <a:pt x="518" y="491"/>
                    </a:lnTo>
                    <a:lnTo>
                      <a:pt x="527" y="464"/>
                    </a:lnTo>
                    <a:lnTo>
                      <a:pt x="536" y="447"/>
                    </a:lnTo>
                    <a:lnTo>
                      <a:pt x="545" y="438"/>
                    </a:lnTo>
                    <a:lnTo>
                      <a:pt x="571" y="438"/>
                    </a:lnTo>
                    <a:lnTo>
                      <a:pt x="580" y="438"/>
                    </a:lnTo>
                    <a:lnTo>
                      <a:pt x="580" y="447"/>
                    </a:lnTo>
                    <a:lnTo>
                      <a:pt x="589" y="464"/>
                    </a:lnTo>
                    <a:lnTo>
                      <a:pt x="607" y="464"/>
                    </a:lnTo>
                    <a:lnTo>
                      <a:pt x="634" y="464"/>
                    </a:lnTo>
                    <a:lnTo>
                      <a:pt x="634" y="473"/>
                    </a:lnTo>
                    <a:lnTo>
                      <a:pt x="643" y="482"/>
                    </a:lnTo>
                    <a:lnTo>
                      <a:pt x="652" y="482"/>
                    </a:lnTo>
                    <a:lnTo>
                      <a:pt x="661" y="482"/>
                    </a:lnTo>
                    <a:lnTo>
                      <a:pt x="670" y="464"/>
                    </a:lnTo>
                    <a:lnTo>
                      <a:pt x="679" y="447"/>
                    </a:lnTo>
                    <a:lnTo>
                      <a:pt x="679" y="438"/>
                    </a:lnTo>
                    <a:lnTo>
                      <a:pt x="696" y="429"/>
                    </a:lnTo>
                    <a:lnTo>
                      <a:pt x="714" y="420"/>
                    </a:lnTo>
                    <a:lnTo>
                      <a:pt x="723" y="411"/>
                    </a:lnTo>
                    <a:lnTo>
                      <a:pt x="741" y="411"/>
                    </a:lnTo>
                    <a:lnTo>
                      <a:pt x="741" y="393"/>
                    </a:lnTo>
                    <a:lnTo>
                      <a:pt x="741" y="375"/>
                    </a:lnTo>
                    <a:lnTo>
                      <a:pt x="732" y="375"/>
                    </a:lnTo>
                    <a:lnTo>
                      <a:pt x="732" y="348"/>
                    </a:lnTo>
                    <a:lnTo>
                      <a:pt x="732" y="331"/>
                    </a:lnTo>
                    <a:lnTo>
                      <a:pt x="688" y="331"/>
                    </a:lnTo>
                    <a:lnTo>
                      <a:pt x="652" y="322"/>
                    </a:lnTo>
                    <a:lnTo>
                      <a:pt x="625" y="322"/>
                    </a:lnTo>
                    <a:lnTo>
                      <a:pt x="616" y="322"/>
                    </a:lnTo>
                    <a:lnTo>
                      <a:pt x="607" y="322"/>
                    </a:lnTo>
                  </a:path>
                </a:pathLst>
              </a:custGeom>
              <a:solidFill>
                <a:schemeClr val="tx2">
                  <a:lumMod val="60000"/>
                  <a:lumOff val="40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51" name="Freeform 58">
                <a:extLst>
                  <a:ext uri="{FF2B5EF4-FFF2-40B4-BE49-F238E27FC236}">
                    <a16:creationId xmlns:a16="http://schemas.microsoft.com/office/drawing/2014/main" id="{F302A73B-BAFB-4CE2-B063-10C64B1374D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8075" y="6331"/>
                <a:ext cx="2101" cy="1990"/>
              </a:xfrm>
              <a:custGeom>
                <a:avLst/>
                <a:gdLst>
                  <a:gd name="T0" fmla="*/ 71 w 947"/>
                  <a:gd name="T1" fmla="*/ 214 h 839"/>
                  <a:gd name="T2" fmla="*/ 134 w 947"/>
                  <a:gd name="T3" fmla="*/ 232 h 839"/>
                  <a:gd name="T4" fmla="*/ 179 w 947"/>
                  <a:gd name="T5" fmla="*/ 232 h 839"/>
                  <a:gd name="T6" fmla="*/ 223 w 947"/>
                  <a:gd name="T7" fmla="*/ 214 h 839"/>
                  <a:gd name="T8" fmla="*/ 286 w 947"/>
                  <a:gd name="T9" fmla="*/ 205 h 839"/>
                  <a:gd name="T10" fmla="*/ 313 w 947"/>
                  <a:gd name="T11" fmla="*/ 170 h 839"/>
                  <a:gd name="T12" fmla="*/ 330 w 947"/>
                  <a:gd name="T13" fmla="*/ 161 h 839"/>
                  <a:gd name="T14" fmla="*/ 420 w 947"/>
                  <a:gd name="T15" fmla="*/ 71 h 839"/>
                  <a:gd name="T16" fmla="*/ 438 w 947"/>
                  <a:gd name="T17" fmla="*/ 36 h 839"/>
                  <a:gd name="T18" fmla="*/ 473 w 947"/>
                  <a:gd name="T19" fmla="*/ 27 h 839"/>
                  <a:gd name="T20" fmla="*/ 527 w 947"/>
                  <a:gd name="T21" fmla="*/ 54 h 839"/>
                  <a:gd name="T22" fmla="*/ 572 w 947"/>
                  <a:gd name="T23" fmla="*/ 89 h 839"/>
                  <a:gd name="T24" fmla="*/ 581 w 947"/>
                  <a:gd name="T25" fmla="*/ 71 h 839"/>
                  <a:gd name="T26" fmla="*/ 607 w 947"/>
                  <a:gd name="T27" fmla="*/ 63 h 839"/>
                  <a:gd name="T28" fmla="*/ 625 w 947"/>
                  <a:gd name="T29" fmla="*/ 45 h 839"/>
                  <a:gd name="T30" fmla="*/ 652 w 947"/>
                  <a:gd name="T31" fmla="*/ 27 h 839"/>
                  <a:gd name="T32" fmla="*/ 652 w 947"/>
                  <a:gd name="T33" fmla="*/ 9 h 839"/>
                  <a:gd name="T34" fmla="*/ 688 w 947"/>
                  <a:gd name="T35" fmla="*/ 0 h 839"/>
                  <a:gd name="T36" fmla="*/ 715 w 947"/>
                  <a:gd name="T37" fmla="*/ 27 h 839"/>
                  <a:gd name="T38" fmla="*/ 723 w 947"/>
                  <a:gd name="T39" fmla="*/ 71 h 839"/>
                  <a:gd name="T40" fmla="*/ 750 w 947"/>
                  <a:gd name="T41" fmla="*/ 89 h 839"/>
                  <a:gd name="T42" fmla="*/ 777 w 947"/>
                  <a:gd name="T43" fmla="*/ 107 h 839"/>
                  <a:gd name="T44" fmla="*/ 786 w 947"/>
                  <a:gd name="T45" fmla="*/ 134 h 839"/>
                  <a:gd name="T46" fmla="*/ 768 w 947"/>
                  <a:gd name="T47" fmla="*/ 170 h 839"/>
                  <a:gd name="T48" fmla="*/ 786 w 947"/>
                  <a:gd name="T49" fmla="*/ 188 h 839"/>
                  <a:gd name="T50" fmla="*/ 813 w 947"/>
                  <a:gd name="T51" fmla="*/ 205 h 839"/>
                  <a:gd name="T52" fmla="*/ 857 w 947"/>
                  <a:gd name="T53" fmla="*/ 214 h 839"/>
                  <a:gd name="T54" fmla="*/ 884 w 947"/>
                  <a:gd name="T55" fmla="*/ 205 h 839"/>
                  <a:gd name="T56" fmla="*/ 893 w 947"/>
                  <a:gd name="T57" fmla="*/ 250 h 839"/>
                  <a:gd name="T58" fmla="*/ 920 w 947"/>
                  <a:gd name="T59" fmla="*/ 286 h 839"/>
                  <a:gd name="T60" fmla="*/ 947 w 947"/>
                  <a:gd name="T61" fmla="*/ 295 h 839"/>
                  <a:gd name="T62" fmla="*/ 938 w 947"/>
                  <a:gd name="T63" fmla="*/ 321 h 839"/>
                  <a:gd name="T64" fmla="*/ 902 w 947"/>
                  <a:gd name="T65" fmla="*/ 348 h 839"/>
                  <a:gd name="T66" fmla="*/ 875 w 947"/>
                  <a:gd name="T67" fmla="*/ 357 h 839"/>
                  <a:gd name="T68" fmla="*/ 840 w 947"/>
                  <a:gd name="T69" fmla="*/ 375 h 839"/>
                  <a:gd name="T70" fmla="*/ 804 w 947"/>
                  <a:gd name="T71" fmla="*/ 429 h 839"/>
                  <a:gd name="T72" fmla="*/ 786 w 947"/>
                  <a:gd name="T73" fmla="*/ 447 h 839"/>
                  <a:gd name="T74" fmla="*/ 741 w 947"/>
                  <a:gd name="T75" fmla="*/ 473 h 839"/>
                  <a:gd name="T76" fmla="*/ 723 w 947"/>
                  <a:gd name="T77" fmla="*/ 500 h 839"/>
                  <a:gd name="T78" fmla="*/ 706 w 947"/>
                  <a:gd name="T79" fmla="*/ 509 h 839"/>
                  <a:gd name="T80" fmla="*/ 652 w 947"/>
                  <a:gd name="T81" fmla="*/ 563 h 839"/>
                  <a:gd name="T82" fmla="*/ 634 w 947"/>
                  <a:gd name="T83" fmla="*/ 589 h 839"/>
                  <a:gd name="T84" fmla="*/ 625 w 947"/>
                  <a:gd name="T85" fmla="*/ 589 h 839"/>
                  <a:gd name="T86" fmla="*/ 607 w 947"/>
                  <a:gd name="T87" fmla="*/ 598 h 839"/>
                  <a:gd name="T88" fmla="*/ 589 w 947"/>
                  <a:gd name="T89" fmla="*/ 616 h 839"/>
                  <a:gd name="T90" fmla="*/ 572 w 947"/>
                  <a:gd name="T91" fmla="*/ 652 h 839"/>
                  <a:gd name="T92" fmla="*/ 554 w 947"/>
                  <a:gd name="T93" fmla="*/ 679 h 839"/>
                  <a:gd name="T94" fmla="*/ 536 w 947"/>
                  <a:gd name="T95" fmla="*/ 697 h 839"/>
                  <a:gd name="T96" fmla="*/ 509 w 947"/>
                  <a:gd name="T97" fmla="*/ 705 h 839"/>
                  <a:gd name="T98" fmla="*/ 491 w 947"/>
                  <a:gd name="T99" fmla="*/ 714 h 839"/>
                  <a:gd name="T100" fmla="*/ 482 w 947"/>
                  <a:gd name="T101" fmla="*/ 759 h 839"/>
                  <a:gd name="T102" fmla="*/ 464 w 947"/>
                  <a:gd name="T103" fmla="*/ 777 h 839"/>
                  <a:gd name="T104" fmla="*/ 455 w 947"/>
                  <a:gd name="T105" fmla="*/ 804 h 839"/>
                  <a:gd name="T106" fmla="*/ 447 w 947"/>
                  <a:gd name="T107" fmla="*/ 822 h 839"/>
                  <a:gd name="T108" fmla="*/ 429 w 947"/>
                  <a:gd name="T109" fmla="*/ 830 h 839"/>
                  <a:gd name="T110" fmla="*/ 402 w 947"/>
                  <a:gd name="T111" fmla="*/ 839 h 839"/>
                  <a:gd name="T112" fmla="*/ 259 w 947"/>
                  <a:gd name="T113" fmla="*/ 777 h 839"/>
                  <a:gd name="T114" fmla="*/ 223 w 947"/>
                  <a:gd name="T115" fmla="*/ 661 h 839"/>
                  <a:gd name="T116" fmla="*/ 125 w 947"/>
                  <a:gd name="T117" fmla="*/ 580 h 839"/>
                  <a:gd name="T118" fmla="*/ 143 w 947"/>
                  <a:gd name="T119" fmla="*/ 455 h 839"/>
                  <a:gd name="T120" fmla="*/ 62 w 947"/>
                  <a:gd name="T121" fmla="*/ 464 h 839"/>
                  <a:gd name="T122" fmla="*/ 0 w 947"/>
                  <a:gd name="T123" fmla="*/ 366 h 839"/>
                  <a:gd name="T124" fmla="*/ 45 w 947"/>
                  <a:gd name="T125" fmla="*/ 250 h 83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  <a:cxn ang="0">
                    <a:pos x="T124" y="T125"/>
                  </a:cxn>
                </a:cxnLst>
                <a:rect l="0" t="0" r="r" b="b"/>
                <a:pathLst>
                  <a:path w="947" h="839">
                    <a:moveTo>
                      <a:pt x="45" y="214"/>
                    </a:moveTo>
                    <a:lnTo>
                      <a:pt x="54" y="214"/>
                    </a:lnTo>
                    <a:lnTo>
                      <a:pt x="54" y="214"/>
                    </a:lnTo>
                    <a:lnTo>
                      <a:pt x="62" y="214"/>
                    </a:lnTo>
                    <a:lnTo>
                      <a:pt x="62" y="214"/>
                    </a:lnTo>
                    <a:lnTo>
                      <a:pt x="62" y="214"/>
                    </a:lnTo>
                    <a:lnTo>
                      <a:pt x="71" y="214"/>
                    </a:lnTo>
                    <a:lnTo>
                      <a:pt x="71" y="214"/>
                    </a:lnTo>
                    <a:lnTo>
                      <a:pt x="71" y="214"/>
                    </a:lnTo>
                    <a:lnTo>
                      <a:pt x="80" y="214"/>
                    </a:lnTo>
                    <a:lnTo>
                      <a:pt x="89" y="214"/>
                    </a:lnTo>
                    <a:lnTo>
                      <a:pt x="98" y="214"/>
                    </a:lnTo>
                    <a:lnTo>
                      <a:pt x="107" y="223"/>
                    </a:lnTo>
                    <a:lnTo>
                      <a:pt x="116" y="223"/>
                    </a:lnTo>
                    <a:lnTo>
                      <a:pt x="116" y="223"/>
                    </a:lnTo>
                    <a:lnTo>
                      <a:pt x="125" y="232"/>
                    </a:lnTo>
                    <a:lnTo>
                      <a:pt x="134" y="232"/>
                    </a:lnTo>
                    <a:lnTo>
                      <a:pt x="134" y="232"/>
                    </a:lnTo>
                    <a:lnTo>
                      <a:pt x="143" y="232"/>
                    </a:lnTo>
                    <a:lnTo>
                      <a:pt x="143" y="232"/>
                    </a:lnTo>
                    <a:lnTo>
                      <a:pt x="152" y="232"/>
                    </a:lnTo>
                    <a:lnTo>
                      <a:pt x="152" y="232"/>
                    </a:lnTo>
                    <a:lnTo>
                      <a:pt x="161" y="232"/>
                    </a:lnTo>
                    <a:lnTo>
                      <a:pt x="161" y="232"/>
                    </a:lnTo>
                    <a:lnTo>
                      <a:pt x="170" y="232"/>
                    </a:lnTo>
                    <a:lnTo>
                      <a:pt x="170" y="232"/>
                    </a:lnTo>
                    <a:lnTo>
                      <a:pt x="179" y="232"/>
                    </a:lnTo>
                    <a:lnTo>
                      <a:pt x="179" y="223"/>
                    </a:lnTo>
                    <a:lnTo>
                      <a:pt x="187" y="223"/>
                    </a:lnTo>
                    <a:lnTo>
                      <a:pt x="187" y="223"/>
                    </a:lnTo>
                    <a:lnTo>
                      <a:pt x="196" y="214"/>
                    </a:lnTo>
                    <a:lnTo>
                      <a:pt x="196" y="214"/>
                    </a:lnTo>
                    <a:lnTo>
                      <a:pt x="205" y="214"/>
                    </a:lnTo>
                    <a:lnTo>
                      <a:pt x="205" y="214"/>
                    </a:lnTo>
                    <a:lnTo>
                      <a:pt x="214" y="214"/>
                    </a:lnTo>
                    <a:lnTo>
                      <a:pt x="223" y="214"/>
                    </a:lnTo>
                    <a:lnTo>
                      <a:pt x="223" y="214"/>
                    </a:lnTo>
                    <a:lnTo>
                      <a:pt x="232" y="223"/>
                    </a:lnTo>
                    <a:lnTo>
                      <a:pt x="241" y="223"/>
                    </a:lnTo>
                    <a:lnTo>
                      <a:pt x="250" y="223"/>
                    </a:lnTo>
                    <a:lnTo>
                      <a:pt x="250" y="223"/>
                    </a:lnTo>
                    <a:lnTo>
                      <a:pt x="259" y="214"/>
                    </a:lnTo>
                    <a:lnTo>
                      <a:pt x="268" y="214"/>
                    </a:lnTo>
                    <a:lnTo>
                      <a:pt x="277" y="205"/>
                    </a:lnTo>
                    <a:lnTo>
                      <a:pt x="286" y="205"/>
                    </a:lnTo>
                    <a:lnTo>
                      <a:pt x="286" y="196"/>
                    </a:lnTo>
                    <a:lnTo>
                      <a:pt x="295" y="188"/>
                    </a:lnTo>
                    <a:lnTo>
                      <a:pt x="304" y="188"/>
                    </a:lnTo>
                    <a:lnTo>
                      <a:pt x="304" y="179"/>
                    </a:lnTo>
                    <a:lnTo>
                      <a:pt x="304" y="179"/>
                    </a:lnTo>
                    <a:lnTo>
                      <a:pt x="313" y="179"/>
                    </a:lnTo>
                    <a:lnTo>
                      <a:pt x="313" y="170"/>
                    </a:lnTo>
                    <a:lnTo>
                      <a:pt x="313" y="170"/>
                    </a:lnTo>
                    <a:lnTo>
                      <a:pt x="313" y="170"/>
                    </a:lnTo>
                    <a:lnTo>
                      <a:pt x="313" y="161"/>
                    </a:lnTo>
                    <a:lnTo>
                      <a:pt x="313" y="161"/>
                    </a:lnTo>
                    <a:lnTo>
                      <a:pt x="313" y="161"/>
                    </a:lnTo>
                    <a:lnTo>
                      <a:pt x="321" y="161"/>
                    </a:lnTo>
                    <a:lnTo>
                      <a:pt x="321" y="161"/>
                    </a:lnTo>
                    <a:lnTo>
                      <a:pt x="321" y="161"/>
                    </a:lnTo>
                    <a:lnTo>
                      <a:pt x="321" y="161"/>
                    </a:lnTo>
                    <a:lnTo>
                      <a:pt x="330" y="161"/>
                    </a:lnTo>
                    <a:lnTo>
                      <a:pt x="330" y="161"/>
                    </a:lnTo>
                    <a:lnTo>
                      <a:pt x="330" y="161"/>
                    </a:lnTo>
                    <a:lnTo>
                      <a:pt x="339" y="152"/>
                    </a:lnTo>
                    <a:lnTo>
                      <a:pt x="348" y="143"/>
                    </a:lnTo>
                    <a:lnTo>
                      <a:pt x="357" y="134"/>
                    </a:lnTo>
                    <a:lnTo>
                      <a:pt x="375" y="125"/>
                    </a:lnTo>
                    <a:lnTo>
                      <a:pt x="384" y="107"/>
                    </a:lnTo>
                    <a:lnTo>
                      <a:pt x="402" y="98"/>
                    </a:lnTo>
                    <a:lnTo>
                      <a:pt x="411" y="80"/>
                    </a:lnTo>
                    <a:lnTo>
                      <a:pt x="420" y="71"/>
                    </a:lnTo>
                    <a:lnTo>
                      <a:pt x="429" y="63"/>
                    </a:lnTo>
                    <a:lnTo>
                      <a:pt x="429" y="54"/>
                    </a:lnTo>
                    <a:lnTo>
                      <a:pt x="438" y="54"/>
                    </a:lnTo>
                    <a:lnTo>
                      <a:pt x="438" y="45"/>
                    </a:lnTo>
                    <a:lnTo>
                      <a:pt x="438" y="45"/>
                    </a:lnTo>
                    <a:lnTo>
                      <a:pt x="438" y="45"/>
                    </a:lnTo>
                    <a:lnTo>
                      <a:pt x="438" y="36"/>
                    </a:lnTo>
                    <a:lnTo>
                      <a:pt x="438" y="36"/>
                    </a:lnTo>
                    <a:lnTo>
                      <a:pt x="438" y="36"/>
                    </a:lnTo>
                    <a:lnTo>
                      <a:pt x="438" y="27"/>
                    </a:lnTo>
                    <a:lnTo>
                      <a:pt x="447" y="27"/>
                    </a:lnTo>
                    <a:lnTo>
                      <a:pt x="447" y="27"/>
                    </a:lnTo>
                    <a:lnTo>
                      <a:pt x="447" y="27"/>
                    </a:lnTo>
                    <a:lnTo>
                      <a:pt x="455" y="27"/>
                    </a:lnTo>
                    <a:lnTo>
                      <a:pt x="455" y="27"/>
                    </a:lnTo>
                    <a:lnTo>
                      <a:pt x="455" y="27"/>
                    </a:lnTo>
                    <a:lnTo>
                      <a:pt x="464" y="27"/>
                    </a:lnTo>
                    <a:lnTo>
                      <a:pt x="473" y="27"/>
                    </a:lnTo>
                    <a:lnTo>
                      <a:pt x="473" y="27"/>
                    </a:lnTo>
                    <a:lnTo>
                      <a:pt x="482" y="27"/>
                    </a:lnTo>
                    <a:lnTo>
                      <a:pt x="482" y="27"/>
                    </a:lnTo>
                    <a:lnTo>
                      <a:pt x="491" y="27"/>
                    </a:lnTo>
                    <a:lnTo>
                      <a:pt x="500" y="36"/>
                    </a:lnTo>
                    <a:lnTo>
                      <a:pt x="500" y="36"/>
                    </a:lnTo>
                    <a:lnTo>
                      <a:pt x="509" y="36"/>
                    </a:lnTo>
                    <a:lnTo>
                      <a:pt x="518" y="45"/>
                    </a:lnTo>
                    <a:lnTo>
                      <a:pt x="527" y="54"/>
                    </a:lnTo>
                    <a:lnTo>
                      <a:pt x="527" y="54"/>
                    </a:lnTo>
                    <a:lnTo>
                      <a:pt x="536" y="63"/>
                    </a:lnTo>
                    <a:lnTo>
                      <a:pt x="545" y="71"/>
                    </a:lnTo>
                    <a:lnTo>
                      <a:pt x="554" y="80"/>
                    </a:lnTo>
                    <a:lnTo>
                      <a:pt x="563" y="80"/>
                    </a:lnTo>
                    <a:lnTo>
                      <a:pt x="563" y="89"/>
                    </a:lnTo>
                    <a:lnTo>
                      <a:pt x="572" y="89"/>
                    </a:lnTo>
                    <a:lnTo>
                      <a:pt x="572" y="89"/>
                    </a:lnTo>
                    <a:lnTo>
                      <a:pt x="572" y="89"/>
                    </a:lnTo>
                    <a:lnTo>
                      <a:pt x="581" y="89"/>
                    </a:lnTo>
                    <a:lnTo>
                      <a:pt x="581" y="89"/>
                    </a:lnTo>
                    <a:lnTo>
                      <a:pt x="581" y="89"/>
                    </a:lnTo>
                    <a:lnTo>
                      <a:pt x="581" y="89"/>
                    </a:lnTo>
                    <a:lnTo>
                      <a:pt x="581" y="89"/>
                    </a:lnTo>
                    <a:lnTo>
                      <a:pt x="581" y="80"/>
                    </a:lnTo>
                    <a:lnTo>
                      <a:pt x="581" y="80"/>
                    </a:lnTo>
                    <a:lnTo>
                      <a:pt x="581" y="80"/>
                    </a:lnTo>
                    <a:lnTo>
                      <a:pt x="581" y="71"/>
                    </a:lnTo>
                    <a:lnTo>
                      <a:pt x="581" y="71"/>
                    </a:lnTo>
                    <a:lnTo>
                      <a:pt x="581" y="63"/>
                    </a:lnTo>
                    <a:lnTo>
                      <a:pt x="581" y="63"/>
                    </a:lnTo>
                    <a:lnTo>
                      <a:pt x="581" y="63"/>
                    </a:lnTo>
                    <a:lnTo>
                      <a:pt x="589" y="63"/>
                    </a:lnTo>
                    <a:lnTo>
                      <a:pt x="589" y="54"/>
                    </a:lnTo>
                    <a:lnTo>
                      <a:pt x="598" y="54"/>
                    </a:lnTo>
                    <a:lnTo>
                      <a:pt x="598" y="54"/>
                    </a:lnTo>
                    <a:lnTo>
                      <a:pt x="607" y="63"/>
                    </a:lnTo>
                    <a:lnTo>
                      <a:pt x="607" y="63"/>
                    </a:lnTo>
                    <a:lnTo>
                      <a:pt x="616" y="63"/>
                    </a:lnTo>
                    <a:lnTo>
                      <a:pt x="616" y="54"/>
                    </a:lnTo>
                    <a:lnTo>
                      <a:pt x="625" y="54"/>
                    </a:lnTo>
                    <a:lnTo>
                      <a:pt x="625" y="54"/>
                    </a:lnTo>
                    <a:lnTo>
                      <a:pt x="625" y="54"/>
                    </a:lnTo>
                    <a:lnTo>
                      <a:pt x="625" y="45"/>
                    </a:lnTo>
                    <a:lnTo>
                      <a:pt x="625" y="45"/>
                    </a:lnTo>
                    <a:lnTo>
                      <a:pt x="625" y="45"/>
                    </a:lnTo>
                    <a:lnTo>
                      <a:pt x="634" y="45"/>
                    </a:lnTo>
                    <a:lnTo>
                      <a:pt x="634" y="36"/>
                    </a:lnTo>
                    <a:lnTo>
                      <a:pt x="634" y="36"/>
                    </a:lnTo>
                    <a:lnTo>
                      <a:pt x="634" y="36"/>
                    </a:lnTo>
                    <a:lnTo>
                      <a:pt x="643" y="36"/>
                    </a:lnTo>
                    <a:lnTo>
                      <a:pt x="643" y="27"/>
                    </a:lnTo>
                    <a:lnTo>
                      <a:pt x="643" y="27"/>
                    </a:lnTo>
                    <a:lnTo>
                      <a:pt x="643" y="27"/>
                    </a:lnTo>
                    <a:lnTo>
                      <a:pt x="652" y="27"/>
                    </a:lnTo>
                    <a:lnTo>
                      <a:pt x="652" y="27"/>
                    </a:lnTo>
                    <a:lnTo>
                      <a:pt x="652" y="18"/>
                    </a:lnTo>
                    <a:lnTo>
                      <a:pt x="652" y="18"/>
                    </a:lnTo>
                    <a:lnTo>
                      <a:pt x="652" y="18"/>
                    </a:lnTo>
                    <a:lnTo>
                      <a:pt x="652" y="18"/>
                    </a:lnTo>
                    <a:lnTo>
                      <a:pt x="652" y="18"/>
                    </a:lnTo>
                    <a:lnTo>
                      <a:pt x="652" y="9"/>
                    </a:lnTo>
                    <a:lnTo>
                      <a:pt x="652" y="9"/>
                    </a:lnTo>
                    <a:lnTo>
                      <a:pt x="652" y="9"/>
                    </a:lnTo>
                    <a:lnTo>
                      <a:pt x="652" y="9"/>
                    </a:lnTo>
                    <a:lnTo>
                      <a:pt x="661" y="9"/>
                    </a:lnTo>
                    <a:lnTo>
                      <a:pt x="661" y="9"/>
                    </a:lnTo>
                    <a:lnTo>
                      <a:pt x="670" y="0"/>
                    </a:lnTo>
                    <a:lnTo>
                      <a:pt x="670" y="0"/>
                    </a:lnTo>
                    <a:lnTo>
                      <a:pt x="679" y="0"/>
                    </a:lnTo>
                    <a:lnTo>
                      <a:pt x="679" y="0"/>
                    </a:lnTo>
                    <a:lnTo>
                      <a:pt x="688" y="0"/>
                    </a:lnTo>
                    <a:lnTo>
                      <a:pt x="688" y="0"/>
                    </a:lnTo>
                    <a:lnTo>
                      <a:pt x="697" y="9"/>
                    </a:lnTo>
                    <a:lnTo>
                      <a:pt x="697" y="9"/>
                    </a:lnTo>
                    <a:lnTo>
                      <a:pt x="706" y="9"/>
                    </a:lnTo>
                    <a:lnTo>
                      <a:pt x="706" y="9"/>
                    </a:lnTo>
                    <a:lnTo>
                      <a:pt x="706" y="18"/>
                    </a:lnTo>
                    <a:lnTo>
                      <a:pt x="706" y="18"/>
                    </a:lnTo>
                    <a:lnTo>
                      <a:pt x="715" y="18"/>
                    </a:lnTo>
                    <a:lnTo>
                      <a:pt x="715" y="27"/>
                    </a:lnTo>
                    <a:lnTo>
                      <a:pt x="715" y="27"/>
                    </a:lnTo>
                    <a:lnTo>
                      <a:pt x="715" y="36"/>
                    </a:lnTo>
                    <a:lnTo>
                      <a:pt x="715" y="45"/>
                    </a:lnTo>
                    <a:lnTo>
                      <a:pt x="715" y="45"/>
                    </a:lnTo>
                    <a:lnTo>
                      <a:pt x="715" y="54"/>
                    </a:lnTo>
                    <a:lnTo>
                      <a:pt x="715" y="54"/>
                    </a:lnTo>
                    <a:lnTo>
                      <a:pt x="715" y="63"/>
                    </a:lnTo>
                    <a:lnTo>
                      <a:pt x="723" y="63"/>
                    </a:lnTo>
                    <a:lnTo>
                      <a:pt x="723" y="71"/>
                    </a:lnTo>
                    <a:lnTo>
                      <a:pt x="723" y="71"/>
                    </a:lnTo>
                    <a:lnTo>
                      <a:pt x="723" y="71"/>
                    </a:lnTo>
                    <a:lnTo>
                      <a:pt x="732" y="80"/>
                    </a:lnTo>
                    <a:lnTo>
                      <a:pt x="732" y="80"/>
                    </a:lnTo>
                    <a:lnTo>
                      <a:pt x="732" y="80"/>
                    </a:lnTo>
                    <a:lnTo>
                      <a:pt x="732" y="80"/>
                    </a:lnTo>
                    <a:lnTo>
                      <a:pt x="741" y="89"/>
                    </a:lnTo>
                    <a:lnTo>
                      <a:pt x="741" y="89"/>
                    </a:lnTo>
                    <a:lnTo>
                      <a:pt x="750" y="89"/>
                    </a:lnTo>
                    <a:lnTo>
                      <a:pt x="750" y="89"/>
                    </a:lnTo>
                    <a:lnTo>
                      <a:pt x="750" y="89"/>
                    </a:lnTo>
                    <a:lnTo>
                      <a:pt x="759" y="98"/>
                    </a:lnTo>
                    <a:lnTo>
                      <a:pt x="759" y="98"/>
                    </a:lnTo>
                    <a:lnTo>
                      <a:pt x="759" y="98"/>
                    </a:lnTo>
                    <a:lnTo>
                      <a:pt x="768" y="98"/>
                    </a:lnTo>
                    <a:lnTo>
                      <a:pt x="768" y="98"/>
                    </a:lnTo>
                    <a:lnTo>
                      <a:pt x="777" y="107"/>
                    </a:lnTo>
                    <a:lnTo>
                      <a:pt x="777" y="107"/>
                    </a:lnTo>
                    <a:lnTo>
                      <a:pt x="777" y="107"/>
                    </a:lnTo>
                    <a:lnTo>
                      <a:pt x="786" y="107"/>
                    </a:lnTo>
                    <a:lnTo>
                      <a:pt x="786" y="116"/>
                    </a:lnTo>
                    <a:lnTo>
                      <a:pt x="786" y="116"/>
                    </a:lnTo>
                    <a:lnTo>
                      <a:pt x="786" y="116"/>
                    </a:lnTo>
                    <a:lnTo>
                      <a:pt x="786" y="125"/>
                    </a:lnTo>
                    <a:lnTo>
                      <a:pt x="786" y="125"/>
                    </a:lnTo>
                    <a:lnTo>
                      <a:pt x="786" y="134"/>
                    </a:lnTo>
                    <a:lnTo>
                      <a:pt x="786" y="134"/>
                    </a:lnTo>
                    <a:lnTo>
                      <a:pt x="786" y="134"/>
                    </a:lnTo>
                    <a:lnTo>
                      <a:pt x="786" y="143"/>
                    </a:lnTo>
                    <a:lnTo>
                      <a:pt x="786" y="143"/>
                    </a:lnTo>
                    <a:lnTo>
                      <a:pt x="786" y="143"/>
                    </a:lnTo>
                    <a:lnTo>
                      <a:pt x="777" y="152"/>
                    </a:lnTo>
                    <a:lnTo>
                      <a:pt x="777" y="152"/>
                    </a:lnTo>
                    <a:lnTo>
                      <a:pt x="777" y="161"/>
                    </a:lnTo>
                    <a:lnTo>
                      <a:pt x="777" y="161"/>
                    </a:lnTo>
                    <a:lnTo>
                      <a:pt x="777" y="170"/>
                    </a:lnTo>
                    <a:lnTo>
                      <a:pt x="768" y="170"/>
                    </a:lnTo>
                    <a:lnTo>
                      <a:pt x="768" y="179"/>
                    </a:lnTo>
                    <a:lnTo>
                      <a:pt x="768" y="179"/>
                    </a:lnTo>
                    <a:lnTo>
                      <a:pt x="777" y="179"/>
                    </a:lnTo>
                    <a:lnTo>
                      <a:pt x="777" y="179"/>
                    </a:lnTo>
                    <a:lnTo>
                      <a:pt x="777" y="188"/>
                    </a:lnTo>
                    <a:lnTo>
                      <a:pt x="777" y="188"/>
                    </a:lnTo>
                    <a:lnTo>
                      <a:pt x="777" y="188"/>
                    </a:lnTo>
                    <a:lnTo>
                      <a:pt x="786" y="188"/>
                    </a:lnTo>
                    <a:lnTo>
                      <a:pt x="786" y="188"/>
                    </a:lnTo>
                    <a:lnTo>
                      <a:pt x="786" y="196"/>
                    </a:lnTo>
                    <a:lnTo>
                      <a:pt x="786" y="196"/>
                    </a:lnTo>
                    <a:lnTo>
                      <a:pt x="795" y="196"/>
                    </a:lnTo>
                    <a:lnTo>
                      <a:pt x="795" y="196"/>
                    </a:lnTo>
                    <a:lnTo>
                      <a:pt x="795" y="196"/>
                    </a:lnTo>
                    <a:lnTo>
                      <a:pt x="804" y="196"/>
                    </a:lnTo>
                    <a:lnTo>
                      <a:pt x="804" y="205"/>
                    </a:lnTo>
                    <a:lnTo>
                      <a:pt x="804" y="205"/>
                    </a:lnTo>
                    <a:lnTo>
                      <a:pt x="813" y="205"/>
                    </a:lnTo>
                    <a:lnTo>
                      <a:pt x="813" y="205"/>
                    </a:lnTo>
                    <a:lnTo>
                      <a:pt x="822" y="214"/>
                    </a:lnTo>
                    <a:lnTo>
                      <a:pt x="822" y="214"/>
                    </a:lnTo>
                    <a:lnTo>
                      <a:pt x="831" y="214"/>
                    </a:lnTo>
                    <a:lnTo>
                      <a:pt x="840" y="214"/>
                    </a:lnTo>
                    <a:lnTo>
                      <a:pt x="840" y="223"/>
                    </a:lnTo>
                    <a:lnTo>
                      <a:pt x="848" y="223"/>
                    </a:lnTo>
                    <a:lnTo>
                      <a:pt x="848" y="223"/>
                    </a:lnTo>
                    <a:lnTo>
                      <a:pt x="857" y="214"/>
                    </a:lnTo>
                    <a:lnTo>
                      <a:pt x="857" y="214"/>
                    </a:lnTo>
                    <a:lnTo>
                      <a:pt x="857" y="214"/>
                    </a:lnTo>
                    <a:lnTo>
                      <a:pt x="866" y="205"/>
                    </a:lnTo>
                    <a:lnTo>
                      <a:pt x="866" y="205"/>
                    </a:lnTo>
                    <a:lnTo>
                      <a:pt x="866" y="205"/>
                    </a:lnTo>
                    <a:lnTo>
                      <a:pt x="875" y="205"/>
                    </a:lnTo>
                    <a:lnTo>
                      <a:pt x="875" y="205"/>
                    </a:lnTo>
                    <a:lnTo>
                      <a:pt x="884" y="205"/>
                    </a:lnTo>
                    <a:lnTo>
                      <a:pt x="884" y="205"/>
                    </a:lnTo>
                    <a:lnTo>
                      <a:pt x="884" y="214"/>
                    </a:lnTo>
                    <a:lnTo>
                      <a:pt x="884" y="214"/>
                    </a:lnTo>
                    <a:lnTo>
                      <a:pt x="884" y="214"/>
                    </a:lnTo>
                    <a:lnTo>
                      <a:pt x="893" y="223"/>
                    </a:lnTo>
                    <a:lnTo>
                      <a:pt x="893" y="223"/>
                    </a:lnTo>
                    <a:lnTo>
                      <a:pt x="893" y="232"/>
                    </a:lnTo>
                    <a:lnTo>
                      <a:pt x="893" y="232"/>
                    </a:lnTo>
                    <a:lnTo>
                      <a:pt x="893" y="241"/>
                    </a:lnTo>
                    <a:lnTo>
                      <a:pt x="893" y="250"/>
                    </a:lnTo>
                    <a:lnTo>
                      <a:pt x="893" y="250"/>
                    </a:lnTo>
                    <a:lnTo>
                      <a:pt x="893" y="259"/>
                    </a:lnTo>
                    <a:lnTo>
                      <a:pt x="893" y="268"/>
                    </a:lnTo>
                    <a:lnTo>
                      <a:pt x="893" y="268"/>
                    </a:lnTo>
                    <a:lnTo>
                      <a:pt x="893" y="277"/>
                    </a:lnTo>
                    <a:lnTo>
                      <a:pt x="902" y="277"/>
                    </a:lnTo>
                    <a:lnTo>
                      <a:pt x="911" y="277"/>
                    </a:lnTo>
                    <a:lnTo>
                      <a:pt x="911" y="277"/>
                    </a:lnTo>
                    <a:lnTo>
                      <a:pt x="920" y="286"/>
                    </a:lnTo>
                    <a:lnTo>
                      <a:pt x="929" y="286"/>
                    </a:lnTo>
                    <a:lnTo>
                      <a:pt x="929" y="286"/>
                    </a:lnTo>
                    <a:lnTo>
                      <a:pt x="938" y="286"/>
                    </a:lnTo>
                    <a:lnTo>
                      <a:pt x="938" y="295"/>
                    </a:lnTo>
                    <a:lnTo>
                      <a:pt x="938" y="295"/>
                    </a:lnTo>
                    <a:lnTo>
                      <a:pt x="947" y="295"/>
                    </a:lnTo>
                    <a:lnTo>
                      <a:pt x="947" y="295"/>
                    </a:lnTo>
                    <a:lnTo>
                      <a:pt x="947" y="295"/>
                    </a:lnTo>
                    <a:lnTo>
                      <a:pt x="947" y="295"/>
                    </a:lnTo>
                    <a:lnTo>
                      <a:pt x="947" y="304"/>
                    </a:lnTo>
                    <a:lnTo>
                      <a:pt x="947" y="304"/>
                    </a:lnTo>
                    <a:lnTo>
                      <a:pt x="947" y="304"/>
                    </a:lnTo>
                    <a:lnTo>
                      <a:pt x="947" y="313"/>
                    </a:lnTo>
                    <a:lnTo>
                      <a:pt x="947" y="313"/>
                    </a:lnTo>
                    <a:lnTo>
                      <a:pt x="947" y="313"/>
                    </a:lnTo>
                    <a:lnTo>
                      <a:pt x="938" y="313"/>
                    </a:lnTo>
                    <a:lnTo>
                      <a:pt x="938" y="321"/>
                    </a:lnTo>
                    <a:lnTo>
                      <a:pt x="938" y="321"/>
                    </a:lnTo>
                    <a:lnTo>
                      <a:pt x="929" y="321"/>
                    </a:lnTo>
                    <a:lnTo>
                      <a:pt x="929" y="321"/>
                    </a:lnTo>
                    <a:lnTo>
                      <a:pt x="929" y="330"/>
                    </a:lnTo>
                    <a:lnTo>
                      <a:pt x="920" y="330"/>
                    </a:lnTo>
                    <a:lnTo>
                      <a:pt x="920" y="330"/>
                    </a:lnTo>
                    <a:lnTo>
                      <a:pt x="911" y="339"/>
                    </a:lnTo>
                    <a:lnTo>
                      <a:pt x="911" y="339"/>
                    </a:lnTo>
                    <a:lnTo>
                      <a:pt x="902" y="339"/>
                    </a:lnTo>
                    <a:lnTo>
                      <a:pt x="902" y="348"/>
                    </a:lnTo>
                    <a:lnTo>
                      <a:pt x="893" y="348"/>
                    </a:lnTo>
                    <a:lnTo>
                      <a:pt x="893" y="348"/>
                    </a:lnTo>
                    <a:lnTo>
                      <a:pt x="893" y="348"/>
                    </a:lnTo>
                    <a:lnTo>
                      <a:pt x="884" y="348"/>
                    </a:lnTo>
                    <a:lnTo>
                      <a:pt x="884" y="357"/>
                    </a:lnTo>
                    <a:lnTo>
                      <a:pt x="884" y="357"/>
                    </a:lnTo>
                    <a:lnTo>
                      <a:pt x="875" y="357"/>
                    </a:lnTo>
                    <a:lnTo>
                      <a:pt x="875" y="357"/>
                    </a:lnTo>
                    <a:lnTo>
                      <a:pt x="875" y="357"/>
                    </a:lnTo>
                    <a:lnTo>
                      <a:pt x="866" y="357"/>
                    </a:lnTo>
                    <a:lnTo>
                      <a:pt x="866" y="357"/>
                    </a:lnTo>
                    <a:lnTo>
                      <a:pt x="866" y="357"/>
                    </a:lnTo>
                    <a:lnTo>
                      <a:pt x="866" y="357"/>
                    </a:lnTo>
                    <a:lnTo>
                      <a:pt x="857" y="357"/>
                    </a:lnTo>
                    <a:lnTo>
                      <a:pt x="857" y="357"/>
                    </a:lnTo>
                    <a:lnTo>
                      <a:pt x="848" y="357"/>
                    </a:lnTo>
                    <a:lnTo>
                      <a:pt x="848" y="366"/>
                    </a:lnTo>
                    <a:lnTo>
                      <a:pt x="840" y="375"/>
                    </a:lnTo>
                    <a:lnTo>
                      <a:pt x="840" y="375"/>
                    </a:lnTo>
                    <a:lnTo>
                      <a:pt x="831" y="384"/>
                    </a:lnTo>
                    <a:lnTo>
                      <a:pt x="822" y="393"/>
                    </a:lnTo>
                    <a:lnTo>
                      <a:pt x="822" y="402"/>
                    </a:lnTo>
                    <a:lnTo>
                      <a:pt x="813" y="411"/>
                    </a:lnTo>
                    <a:lnTo>
                      <a:pt x="813" y="411"/>
                    </a:lnTo>
                    <a:lnTo>
                      <a:pt x="804" y="420"/>
                    </a:lnTo>
                    <a:lnTo>
                      <a:pt x="804" y="420"/>
                    </a:lnTo>
                    <a:lnTo>
                      <a:pt x="804" y="429"/>
                    </a:lnTo>
                    <a:lnTo>
                      <a:pt x="804" y="429"/>
                    </a:lnTo>
                    <a:lnTo>
                      <a:pt x="804" y="429"/>
                    </a:lnTo>
                    <a:lnTo>
                      <a:pt x="804" y="438"/>
                    </a:lnTo>
                    <a:lnTo>
                      <a:pt x="804" y="438"/>
                    </a:lnTo>
                    <a:lnTo>
                      <a:pt x="804" y="438"/>
                    </a:lnTo>
                    <a:lnTo>
                      <a:pt x="795" y="438"/>
                    </a:lnTo>
                    <a:lnTo>
                      <a:pt x="795" y="447"/>
                    </a:lnTo>
                    <a:lnTo>
                      <a:pt x="786" y="447"/>
                    </a:lnTo>
                    <a:lnTo>
                      <a:pt x="786" y="447"/>
                    </a:lnTo>
                    <a:lnTo>
                      <a:pt x="777" y="447"/>
                    </a:lnTo>
                    <a:lnTo>
                      <a:pt x="777" y="455"/>
                    </a:lnTo>
                    <a:lnTo>
                      <a:pt x="768" y="455"/>
                    </a:lnTo>
                    <a:lnTo>
                      <a:pt x="768" y="455"/>
                    </a:lnTo>
                    <a:lnTo>
                      <a:pt x="768" y="464"/>
                    </a:lnTo>
                    <a:lnTo>
                      <a:pt x="759" y="464"/>
                    </a:lnTo>
                    <a:lnTo>
                      <a:pt x="750" y="464"/>
                    </a:lnTo>
                    <a:lnTo>
                      <a:pt x="750" y="473"/>
                    </a:lnTo>
                    <a:lnTo>
                      <a:pt x="741" y="473"/>
                    </a:lnTo>
                    <a:lnTo>
                      <a:pt x="741" y="473"/>
                    </a:lnTo>
                    <a:lnTo>
                      <a:pt x="732" y="482"/>
                    </a:lnTo>
                    <a:lnTo>
                      <a:pt x="732" y="482"/>
                    </a:lnTo>
                    <a:lnTo>
                      <a:pt x="732" y="482"/>
                    </a:lnTo>
                    <a:lnTo>
                      <a:pt x="732" y="491"/>
                    </a:lnTo>
                    <a:lnTo>
                      <a:pt x="723" y="491"/>
                    </a:lnTo>
                    <a:lnTo>
                      <a:pt x="723" y="500"/>
                    </a:lnTo>
                    <a:lnTo>
                      <a:pt x="723" y="500"/>
                    </a:lnTo>
                    <a:lnTo>
                      <a:pt x="723" y="500"/>
                    </a:lnTo>
                    <a:lnTo>
                      <a:pt x="723" y="509"/>
                    </a:lnTo>
                    <a:lnTo>
                      <a:pt x="723" y="509"/>
                    </a:lnTo>
                    <a:lnTo>
                      <a:pt x="715" y="509"/>
                    </a:lnTo>
                    <a:lnTo>
                      <a:pt x="715" y="509"/>
                    </a:lnTo>
                    <a:lnTo>
                      <a:pt x="715" y="509"/>
                    </a:lnTo>
                    <a:lnTo>
                      <a:pt x="715" y="509"/>
                    </a:lnTo>
                    <a:lnTo>
                      <a:pt x="706" y="509"/>
                    </a:lnTo>
                    <a:lnTo>
                      <a:pt x="706" y="509"/>
                    </a:lnTo>
                    <a:lnTo>
                      <a:pt x="706" y="509"/>
                    </a:lnTo>
                    <a:lnTo>
                      <a:pt x="697" y="509"/>
                    </a:lnTo>
                    <a:lnTo>
                      <a:pt x="697" y="518"/>
                    </a:lnTo>
                    <a:lnTo>
                      <a:pt x="688" y="518"/>
                    </a:lnTo>
                    <a:lnTo>
                      <a:pt x="679" y="527"/>
                    </a:lnTo>
                    <a:lnTo>
                      <a:pt x="679" y="536"/>
                    </a:lnTo>
                    <a:lnTo>
                      <a:pt x="670" y="545"/>
                    </a:lnTo>
                    <a:lnTo>
                      <a:pt x="661" y="554"/>
                    </a:lnTo>
                    <a:lnTo>
                      <a:pt x="661" y="554"/>
                    </a:lnTo>
                    <a:lnTo>
                      <a:pt x="652" y="563"/>
                    </a:lnTo>
                    <a:lnTo>
                      <a:pt x="652" y="563"/>
                    </a:lnTo>
                    <a:lnTo>
                      <a:pt x="652" y="572"/>
                    </a:lnTo>
                    <a:lnTo>
                      <a:pt x="643" y="572"/>
                    </a:lnTo>
                    <a:lnTo>
                      <a:pt x="643" y="580"/>
                    </a:lnTo>
                    <a:lnTo>
                      <a:pt x="643" y="580"/>
                    </a:lnTo>
                    <a:lnTo>
                      <a:pt x="643" y="580"/>
                    </a:lnTo>
                    <a:lnTo>
                      <a:pt x="643" y="580"/>
                    </a:lnTo>
                    <a:lnTo>
                      <a:pt x="634" y="589"/>
                    </a:lnTo>
                    <a:lnTo>
                      <a:pt x="634" y="589"/>
                    </a:lnTo>
                    <a:lnTo>
                      <a:pt x="634" y="589"/>
                    </a:lnTo>
                    <a:lnTo>
                      <a:pt x="634" y="589"/>
                    </a:lnTo>
                    <a:lnTo>
                      <a:pt x="625" y="589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98"/>
                    </a:lnTo>
                    <a:lnTo>
                      <a:pt x="625" y="598"/>
                    </a:lnTo>
                    <a:lnTo>
                      <a:pt x="625" y="598"/>
                    </a:lnTo>
                    <a:lnTo>
                      <a:pt x="625" y="598"/>
                    </a:lnTo>
                    <a:lnTo>
                      <a:pt x="616" y="598"/>
                    </a:lnTo>
                    <a:lnTo>
                      <a:pt x="616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598" y="598"/>
                    </a:lnTo>
                    <a:lnTo>
                      <a:pt x="598" y="598"/>
                    </a:lnTo>
                    <a:lnTo>
                      <a:pt x="589" y="598"/>
                    </a:lnTo>
                    <a:lnTo>
                      <a:pt x="589" y="598"/>
                    </a:lnTo>
                    <a:lnTo>
                      <a:pt x="589" y="607"/>
                    </a:lnTo>
                    <a:lnTo>
                      <a:pt x="589" y="607"/>
                    </a:lnTo>
                    <a:lnTo>
                      <a:pt x="589" y="616"/>
                    </a:lnTo>
                    <a:lnTo>
                      <a:pt x="589" y="616"/>
                    </a:lnTo>
                    <a:lnTo>
                      <a:pt x="589" y="625"/>
                    </a:lnTo>
                    <a:lnTo>
                      <a:pt x="589" y="634"/>
                    </a:lnTo>
                    <a:lnTo>
                      <a:pt x="589" y="634"/>
                    </a:lnTo>
                    <a:lnTo>
                      <a:pt x="581" y="643"/>
                    </a:lnTo>
                    <a:lnTo>
                      <a:pt x="581" y="643"/>
                    </a:lnTo>
                    <a:lnTo>
                      <a:pt x="581" y="643"/>
                    </a:lnTo>
                    <a:lnTo>
                      <a:pt x="581" y="643"/>
                    </a:lnTo>
                    <a:lnTo>
                      <a:pt x="572" y="643"/>
                    </a:lnTo>
                    <a:lnTo>
                      <a:pt x="572" y="652"/>
                    </a:lnTo>
                    <a:lnTo>
                      <a:pt x="563" y="652"/>
                    </a:lnTo>
                    <a:lnTo>
                      <a:pt x="563" y="652"/>
                    </a:lnTo>
                    <a:lnTo>
                      <a:pt x="563" y="652"/>
                    </a:lnTo>
                    <a:lnTo>
                      <a:pt x="563" y="652"/>
                    </a:lnTo>
                    <a:lnTo>
                      <a:pt x="554" y="661"/>
                    </a:lnTo>
                    <a:lnTo>
                      <a:pt x="554" y="670"/>
                    </a:lnTo>
                    <a:lnTo>
                      <a:pt x="554" y="670"/>
                    </a:lnTo>
                    <a:lnTo>
                      <a:pt x="554" y="679"/>
                    </a:lnTo>
                    <a:lnTo>
                      <a:pt x="554" y="679"/>
                    </a:lnTo>
                    <a:lnTo>
                      <a:pt x="554" y="688"/>
                    </a:lnTo>
                    <a:lnTo>
                      <a:pt x="554" y="688"/>
                    </a:lnTo>
                    <a:lnTo>
                      <a:pt x="554" y="688"/>
                    </a:lnTo>
                    <a:lnTo>
                      <a:pt x="554" y="697"/>
                    </a:lnTo>
                    <a:lnTo>
                      <a:pt x="545" y="697"/>
                    </a:lnTo>
                    <a:lnTo>
                      <a:pt x="545" y="697"/>
                    </a:lnTo>
                    <a:lnTo>
                      <a:pt x="545" y="697"/>
                    </a:lnTo>
                    <a:lnTo>
                      <a:pt x="536" y="697"/>
                    </a:lnTo>
                    <a:lnTo>
                      <a:pt x="536" y="697"/>
                    </a:lnTo>
                    <a:lnTo>
                      <a:pt x="527" y="705"/>
                    </a:lnTo>
                    <a:lnTo>
                      <a:pt x="527" y="705"/>
                    </a:lnTo>
                    <a:lnTo>
                      <a:pt x="527" y="705"/>
                    </a:lnTo>
                    <a:lnTo>
                      <a:pt x="518" y="705"/>
                    </a:lnTo>
                    <a:lnTo>
                      <a:pt x="518" y="705"/>
                    </a:lnTo>
                    <a:lnTo>
                      <a:pt x="518" y="705"/>
                    </a:lnTo>
                    <a:lnTo>
                      <a:pt x="509" y="705"/>
                    </a:lnTo>
                    <a:lnTo>
                      <a:pt x="509" y="705"/>
                    </a:lnTo>
                    <a:lnTo>
                      <a:pt x="509" y="705"/>
                    </a:lnTo>
                    <a:lnTo>
                      <a:pt x="500" y="705"/>
                    </a:lnTo>
                    <a:lnTo>
                      <a:pt x="500" y="705"/>
                    </a:lnTo>
                    <a:lnTo>
                      <a:pt x="500" y="705"/>
                    </a:lnTo>
                    <a:lnTo>
                      <a:pt x="500" y="705"/>
                    </a:lnTo>
                    <a:lnTo>
                      <a:pt x="491" y="705"/>
                    </a:lnTo>
                    <a:lnTo>
                      <a:pt x="491" y="705"/>
                    </a:lnTo>
                    <a:lnTo>
                      <a:pt x="491" y="714"/>
                    </a:lnTo>
                    <a:lnTo>
                      <a:pt x="491" y="714"/>
                    </a:lnTo>
                    <a:lnTo>
                      <a:pt x="491" y="714"/>
                    </a:lnTo>
                    <a:lnTo>
                      <a:pt x="491" y="723"/>
                    </a:lnTo>
                    <a:lnTo>
                      <a:pt x="491" y="732"/>
                    </a:lnTo>
                    <a:lnTo>
                      <a:pt x="491" y="732"/>
                    </a:lnTo>
                    <a:lnTo>
                      <a:pt x="491" y="741"/>
                    </a:lnTo>
                    <a:lnTo>
                      <a:pt x="491" y="750"/>
                    </a:lnTo>
                    <a:lnTo>
                      <a:pt x="491" y="750"/>
                    </a:lnTo>
                    <a:lnTo>
                      <a:pt x="491" y="759"/>
                    </a:lnTo>
                    <a:lnTo>
                      <a:pt x="491" y="759"/>
                    </a:lnTo>
                    <a:lnTo>
                      <a:pt x="482" y="759"/>
                    </a:lnTo>
                    <a:lnTo>
                      <a:pt x="482" y="768"/>
                    </a:lnTo>
                    <a:lnTo>
                      <a:pt x="482" y="768"/>
                    </a:lnTo>
                    <a:lnTo>
                      <a:pt x="473" y="768"/>
                    </a:lnTo>
                    <a:lnTo>
                      <a:pt x="473" y="768"/>
                    </a:lnTo>
                    <a:lnTo>
                      <a:pt x="473" y="777"/>
                    </a:lnTo>
                    <a:lnTo>
                      <a:pt x="473" y="777"/>
                    </a:lnTo>
                    <a:lnTo>
                      <a:pt x="464" y="777"/>
                    </a:lnTo>
                    <a:lnTo>
                      <a:pt x="464" y="777"/>
                    </a:lnTo>
                    <a:lnTo>
                      <a:pt x="464" y="777"/>
                    </a:lnTo>
                    <a:lnTo>
                      <a:pt x="464" y="786"/>
                    </a:lnTo>
                    <a:lnTo>
                      <a:pt x="455" y="786"/>
                    </a:lnTo>
                    <a:lnTo>
                      <a:pt x="455" y="786"/>
                    </a:lnTo>
                    <a:lnTo>
                      <a:pt x="455" y="786"/>
                    </a:lnTo>
                    <a:lnTo>
                      <a:pt x="455" y="786"/>
                    </a:lnTo>
                    <a:lnTo>
                      <a:pt x="455" y="795"/>
                    </a:lnTo>
                    <a:lnTo>
                      <a:pt x="455" y="795"/>
                    </a:lnTo>
                    <a:lnTo>
                      <a:pt x="455" y="804"/>
                    </a:lnTo>
                    <a:lnTo>
                      <a:pt x="455" y="804"/>
                    </a:lnTo>
                    <a:lnTo>
                      <a:pt x="447" y="804"/>
                    </a:lnTo>
                    <a:lnTo>
                      <a:pt x="447" y="813"/>
                    </a:lnTo>
                    <a:lnTo>
                      <a:pt x="447" y="813"/>
                    </a:lnTo>
                    <a:lnTo>
                      <a:pt x="447" y="813"/>
                    </a:lnTo>
                    <a:lnTo>
                      <a:pt x="447" y="813"/>
                    </a:lnTo>
                    <a:lnTo>
                      <a:pt x="447" y="813"/>
                    </a:lnTo>
                    <a:lnTo>
                      <a:pt x="447" y="822"/>
                    </a:lnTo>
                    <a:lnTo>
                      <a:pt x="447" y="822"/>
                    </a:lnTo>
                    <a:lnTo>
                      <a:pt x="447" y="822"/>
                    </a:lnTo>
                    <a:lnTo>
                      <a:pt x="438" y="822"/>
                    </a:lnTo>
                    <a:lnTo>
                      <a:pt x="438" y="822"/>
                    </a:lnTo>
                    <a:lnTo>
                      <a:pt x="438" y="822"/>
                    </a:lnTo>
                    <a:lnTo>
                      <a:pt x="438" y="822"/>
                    </a:lnTo>
                    <a:lnTo>
                      <a:pt x="438" y="822"/>
                    </a:lnTo>
                    <a:lnTo>
                      <a:pt x="438" y="822"/>
                    </a:lnTo>
                    <a:lnTo>
                      <a:pt x="438" y="830"/>
                    </a:lnTo>
                    <a:lnTo>
                      <a:pt x="429" y="830"/>
                    </a:lnTo>
                    <a:lnTo>
                      <a:pt x="429" y="830"/>
                    </a:lnTo>
                    <a:lnTo>
                      <a:pt x="429" y="830"/>
                    </a:lnTo>
                    <a:lnTo>
                      <a:pt x="429" y="830"/>
                    </a:lnTo>
                    <a:lnTo>
                      <a:pt x="429" y="839"/>
                    </a:lnTo>
                    <a:lnTo>
                      <a:pt x="420" y="839"/>
                    </a:lnTo>
                    <a:lnTo>
                      <a:pt x="420" y="839"/>
                    </a:lnTo>
                    <a:lnTo>
                      <a:pt x="411" y="839"/>
                    </a:lnTo>
                    <a:lnTo>
                      <a:pt x="411" y="839"/>
                    </a:lnTo>
                    <a:lnTo>
                      <a:pt x="411" y="839"/>
                    </a:lnTo>
                    <a:lnTo>
                      <a:pt x="402" y="839"/>
                    </a:lnTo>
                    <a:lnTo>
                      <a:pt x="402" y="839"/>
                    </a:lnTo>
                    <a:lnTo>
                      <a:pt x="384" y="839"/>
                    </a:lnTo>
                    <a:lnTo>
                      <a:pt x="348" y="830"/>
                    </a:lnTo>
                    <a:lnTo>
                      <a:pt x="330" y="822"/>
                    </a:lnTo>
                    <a:lnTo>
                      <a:pt x="304" y="822"/>
                    </a:lnTo>
                    <a:lnTo>
                      <a:pt x="268" y="822"/>
                    </a:lnTo>
                    <a:lnTo>
                      <a:pt x="250" y="813"/>
                    </a:lnTo>
                    <a:lnTo>
                      <a:pt x="250" y="795"/>
                    </a:lnTo>
                    <a:lnTo>
                      <a:pt x="259" y="777"/>
                    </a:lnTo>
                    <a:lnTo>
                      <a:pt x="286" y="750"/>
                    </a:lnTo>
                    <a:lnTo>
                      <a:pt x="295" y="732"/>
                    </a:lnTo>
                    <a:lnTo>
                      <a:pt x="313" y="705"/>
                    </a:lnTo>
                    <a:lnTo>
                      <a:pt x="304" y="697"/>
                    </a:lnTo>
                    <a:lnTo>
                      <a:pt x="295" y="697"/>
                    </a:lnTo>
                    <a:lnTo>
                      <a:pt x="268" y="688"/>
                    </a:lnTo>
                    <a:lnTo>
                      <a:pt x="250" y="679"/>
                    </a:lnTo>
                    <a:lnTo>
                      <a:pt x="241" y="661"/>
                    </a:lnTo>
                    <a:lnTo>
                      <a:pt x="223" y="661"/>
                    </a:lnTo>
                    <a:lnTo>
                      <a:pt x="223" y="652"/>
                    </a:lnTo>
                    <a:lnTo>
                      <a:pt x="179" y="652"/>
                    </a:lnTo>
                    <a:lnTo>
                      <a:pt x="161" y="652"/>
                    </a:lnTo>
                    <a:lnTo>
                      <a:pt x="152" y="643"/>
                    </a:lnTo>
                    <a:lnTo>
                      <a:pt x="152" y="625"/>
                    </a:lnTo>
                    <a:lnTo>
                      <a:pt x="134" y="616"/>
                    </a:lnTo>
                    <a:lnTo>
                      <a:pt x="125" y="607"/>
                    </a:lnTo>
                    <a:lnTo>
                      <a:pt x="125" y="598"/>
                    </a:lnTo>
                    <a:lnTo>
                      <a:pt x="125" y="580"/>
                    </a:lnTo>
                    <a:lnTo>
                      <a:pt x="98" y="580"/>
                    </a:lnTo>
                    <a:lnTo>
                      <a:pt x="98" y="580"/>
                    </a:lnTo>
                    <a:lnTo>
                      <a:pt x="125" y="572"/>
                    </a:lnTo>
                    <a:lnTo>
                      <a:pt x="134" y="554"/>
                    </a:lnTo>
                    <a:lnTo>
                      <a:pt x="134" y="509"/>
                    </a:lnTo>
                    <a:lnTo>
                      <a:pt x="134" y="491"/>
                    </a:lnTo>
                    <a:lnTo>
                      <a:pt x="152" y="482"/>
                    </a:lnTo>
                    <a:lnTo>
                      <a:pt x="152" y="473"/>
                    </a:lnTo>
                    <a:lnTo>
                      <a:pt x="143" y="455"/>
                    </a:lnTo>
                    <a:lnTo>
                      <a:pt x="134" y="464"/>
                    </a:lnTo>
                    <a:lnTo>
                      <a:pt x="125" y="473"/>
                    </a:lnTo>
                    <a:lnTo>
                      <a:pt x="98" y="473"/>
                    </a:lnTo>
                    <a:lnTo>
                      <a:pt x="89" y="482"/>
                    </a:lnTo>
                    <a:lnTo>
                      <a:pt x="89" y="491"/>
                    </a:lnTo>
                    <a:lnTo>
                      <a:pt x="89" y="518"/>
                    </a:lnTo>
                    <a:lnTo>
                      <a:pt x="71" y="500"/>
                    </a:lnTo>
                    <a:lnTo>
                      <a:pt x="62" y="482"/>
                    </a:lnTo>
                    <a:lnTo>
                      <a:pt x="62" y="464"/>
                    </a:lnTo>
                    <a:lnTo>
                      <a:pt x="54" y="447"/>
                    </a:lnTo>
                    <a:lnTo>
                      <a:pt x="45" y="438"/>
                    </a:lnTo>
                    <a:lnTo>
                      <a:pt x="54" y="411"/>
                    </a:lnTo>
                    <a:lnTo>
                      <a:pt x="36" y="402"/>
                    </a:lnTo>
                    <a:lnTo>
                      <a:pt x="36" y="393"/>
                    </a:lnTo>
                    <a:lnTo>
                      <a:pt x="27" y="393"/>
                    </a:lnTo>
                    <a:lnTo>
                      <a:pt x="0" y="393"/>
                    </a:lnTo>
                    <a:lnTo>
                      <a:pt x="0" y="384"/>
                    </a:lnTo>
                    <a:lnTo>
                      <a:pt x="0" y="366"/>
                    </a:lnTo>
                    <a:lnTo>
                      <a:pt x="0" y="348"/>
                    </a:lnTo>
                    <a:lnTo>
                      <a:pt x="9" y="339"/>
                    </a:lnTo>
                    <a:lnTo>
                      <a:pt x="9" y="330"/>
                    </a:lnTo>
                    <a:lnTo>
                      <a:pt x="9" y="313"/>
                    </a:lnTo>
                    <a:lnTo>
                      <a:pt x="18" y="304"/>
                    </a:lnTo>
                    <a:lnTo>
                      <a:pt x="18" y="277"/>
                    </a:lnTo>
                    <a:lnTo>
                      <a:pt x="18" y="259"/>
                    </a:lnTo>
                    <a:lnTo>
                      <a:pt x="36" y="259"/>
                    </a:lnTo>
                    <a:lnTo>
                      <a:pt x="45" y="250"/>
                    </a:lnTo>
                    <a:lnTo>
                      <a:pt x="45" y="232"/>
                    </a:lnTo>
                    <a:lnTo>
                      <a:pt x="45" y="214"/>
                    </a:lnTo>
                  </a:path>
                </a:pathLst>
              </a:custGeom>
              <a:solidFill>
                <a:schemeClr val="tx2">
                  <a:lumMod val="75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52" name="Freeform 59">
                <a:extLst>
                  <a:ext uri="{FF2B5EF4-FFF2-40B4-BE49-F238E27FC236}">
                    <a16:creationId xmlns:a16="http://schemas.microsoft.com/office/drawing/2014/main" id="{FA5DDC60-FAF1-4D3E-94A1-51B45BDF1DA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4072" y="7370"/>
                <a:ext cx="1089" cy="1375"/>
              </a:xfrm>
              <a:custGeom>
                <a:avLst/>
                <a:gdLst>
                  <a:gd name="T0" fmla="*/ 464 w 491"/>
                  <a:gd name="T1" fmla="*/ 44 h 580"/>
                  <a:gd name="T2" fmla="*/ 428 w 491"/>
                  <a:gd name="T3" fmla="*/ 17 h 580"/>
                  <a:gd name="T4" fmla="*/ 384 w 491"/>
                  <a:gd name="T5" fmla="*/ 35 h 580"/>
                  <a:gd name="T6" fmla="*/ 357 w 491"/>
                  <a:gd name="T7" fmla="*/ 9 h 580"/>
                  <a:gd name="T8" fmla="*/ 285 w 491"/>
                  <a:gd name="T9" fmla="*/ 0 h 580"/>
                  <a:gd name="T10" fmla="*/ 223 w 491"/>
                  <a:gd name="T11" fmla="*/ 0 h 580"/>
                  <a:gd name="T12" fmla="*/ 196 w 491"/>
                  <a:gd name="T13" fmla="*/ 26 h 580"/>
                  <a:gd name="T14" fmla="*/ 160 w 491"/>
                  <a:gd name="T15" fmla="*/ 26 h 580"/>
                  <a:gd name="T16" fmla="*/ 125 w 491"/>
                  <a:gd name="T17" fmla="*/ 35 h 580"/>
                  <a:gd name="T18" fmla="*/ 89 w 491"/>
                  <a:gd name="T19" fmla="*/ 44 h 580"/>
                  <a:gd name="T20" fmla="*/ 98 w 491"/>
                  <a:gd name="T21" fmla="*/ 71 h 580"/>
                  <a:gd name="T22" fmla="*/ 107 w 491"/>
                  <a:gd name="T23" fmla="*/ 80 h 580"/>
                  <a:gd name="T24" fmla="*/ 116 w 491"/>
                  <a:gd name="T25" fmla="*/ 107 h 580"/>
                  <a:gd name="T26" fmla="*/ 125 w 491"/>
                  <a:gd name="T27" fmla="*/ 125 h 580"/>
                  <a:gd name="T28" fmla="*/ 134 w 491"/>
                  <a:gd name="T29" fmla="*/ 151 h 580"/>
                  <a:gd name="T30" fmla="*/ 125 w 491"/>
                  <a:gd name="T31" fmla="*/ 169 h 580"/>
                  <a:gd name="T32" fmla="*/ 98 w 491"/>
                  <a:gd name="T33" fmla="*/ 187 h 580"/>
                  <a:gd name="T34" fmla="*/ 98 w 491"/>
                  <a:gd name="T35" fmla="*/ 205 h 580"/>
                  <a:gd name="T36" fmla="*/ 71 w 491"/>
                  <a:gd name="T37" fmla="*/ 223 h 580"/>
                  <a:gd name="T38" fmla="*/ 62 w 491"/>
                  <a:gd name="T39" fmla="*/ 241 h 580"/>
                  <a:gd name="T40" fmla="*/ 53 w 491"/>
                  <a:gd name="T41" fmla="*/ 276 h 580"/>
                  <a:gd name="T42" fmla="*/ 71 w 491"/>
                  <a:gd name="T43" fmla="*/ 285 h 580"/>
                  <a:gd name="T44" fmla="*/ 89 w 491"/>
                  <a:gd name="T45" fmla="*/ 303 h 580"/>
                  <a:gd name="T46" fmla="*/ 80 w 491"/>
                  <a:gd name="T47" fmla="*/ 339 h 580"/>
                  <a:gd name="T48" fmla="*/ 62 w 491"/>
                  <a:gd name="T49" fmla="*/ 348 h 580"/>
                  <a:gd name="T50" fmla="*/ 26 w 491"/>
                  <a:gd name="T51" fmla="*/ 348 h 580"/>
                  <a:gd name="T52" fmla="*/ 17 w 491"/>
                  <a:gd name="T53" fmla="*/ 366 h 580"/>
                  <a:gd name="T54" fmla="*/ 9 w 491"/>
                  <a:gd name="T55" fmla="*/ 392 h 580"/>
                  <a:gd name="T56" fmla="*/ 0 w 491"/>
                  <a:gd name="T57" fmla="*/ 410 h 580"/>
                  <a:gd name="T58" fmla="*/ 9 w 491"/>
                  <a:gd name="T59" fmla="*/ 446 h 580"/>
                  <a:gd name="T60" fmla="*/ 35 w 491"/>
                  <a:gd name="T61" fmla="*/ 464 h 580"/>
                  <a:gd name="T62" fmla="*/ 35 w 491"/>
                  <a:gd name="T63" fmla="*/ 491 h 580"/>
                  <a:gd name="T64" fmla="*/ 62 w 491"/>
                  <a:gd name="T65" fmla="*/ 517 h 580"/>
                  <a:gd name="T66" fmla="*/ 62 w 491"/>
                  <a:gd name="T67" fmla="*/ 553 h 580"/>
                  <a:gd name="T68" fmla="*/ 89 w 491"/>
                  <a:gd name="T69" fmla="*/ 580 h 580"/>
                  <a:gd name="T70" fmla="*/ 134 w 491"/>
                  <a:gd name="T71" fmla="*/ 571 h 580"/>
                  <a:gd name="T72" fmla="*/ 178 w 491"/>
                  <a:gd name="T73" fmla="*/ 544 h 580"/>
                  <a:gd name="T74" fmla="*/ 196 w 491"/>
                  <a:gd name="T75" fmla="*/ 526 h 580"/>
                  <a:gd name="T76" fmla="*/ 241 w 491"/>
                  <a:gd name="T77" fmla="*/ 526 h 580"/>
                  <a:gd name="T78" fmla="*/ 294 w 491"/>
                  <a:gd name="T79" fmla="*/ 526 h 580"/>
                  <a:gd name="T80" fmla="*/ 303 w 491"/>
                  <a:gd name="T81" fmla="*/ 500 h 580"/>
                  <a:gd name="T82" fmla="*/ 303 w 491"/>
                  <a:gd name="T83" fmla="*/ 464 h 580"/>
                  <a:gd name="T84" fmla="*/ 321 w 491"/>
                  <a:gd name="T85" fmla="*/ 455 h 580"/>
                  <a:gd name="T86" fmla="*/ 339 w 491"/>
                  <a:gd name="T87" fmla="*/ 437 h 580"/>
                  <a:gd name="T88" fmla="*/ 366 w 491"/>
                  <a:gd name="T89" fmla="*/ 428 h 580"/>
                  <a:gd name="T90" fmla="*/ 402 w 491"/>
                  <a:gd name="T91" fmla="*/ 428 h 580"/>
                  <a:gd name="T92" fmla="*/ 410 w 491"/>
                  <a:gd name="T93" fmla="*/ 419 h 580"/>
                  <a:gd name="T94" fmla="*/ 419 w 491"/>
                  <a:gd name="T95" fmla="*/ 392 h 580"/>
                  <a:gd name="T96" fmla="*/ 437 w 491"/>
                  <a:gd name="T97" fmla="*/ 392 h 580"/>
                  <a:gd name="T98" fmla="*/ 464 w 491"/>
                  <a:gd name="T99" fmla="*/ 384 h 580"/>
                  <a:gd name="T100" fmla="*/ 473 w 491"/>
                  <a:gd name="T101" fmla="*/ 348 h 580"/>
                  <a:gd name="T102" fmla="*/ 482 w 491"/>
                  <a:gd name="T103" fmla="*/ 339 h 580"/>
                  <a:gd name="T104" fmla="*/ 491 w 491"/>
                  <a:gd name="T105" fmla="*/ 312 h 580"/>
                  <a:gd name="T106" fmla="*/ 482 w 491"/>
                  <a:gd name="T107" fmla="*/ 285 h 580"/>
                  <a:gd name="T108" fmla="*/ 464 w 491"/>
                  <a:gd name="T109" fmla="*/ 250 h 580"/>
                  <a:gd name="T110" fmla="*/ 473 w 491"/>
                  <a:gd name="T111" fmla="*/ 214 h 580"/>
                  <a:gd name="T112" fmla="*/ 491 w 491"/>
                  <a:gd name="T113" fmla="*/ 196 h 580"/>
                  <a:gd name="T114" fmla="*/ 482 w 491"/>
                  <a:gd name="T115" fmla="*/ 169 h 580"/>
                  <a:gd name="T116" fmla="*/ 446 w 491"/>
                  <a:gd name="T117" fmla="*/ 160 h 580"/>
                  <a:gd name="T118" fmla="*/ 446 w 491"/>
                  <a:gd name="T119" fmla="*/ 125 h 580"/>
                  <a:gd name="T120" fmla="*/ 464 w 491"/>
                  <a:gd name="T121" fmla="*/ 98 h 580"/>
                  <a:gd name="T122" fmla="*/ 473 w 491"/>
                  <a:gd name="T123" fmla="*/ 62 h 58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</a:cxnLst>
                <a:rect l="0" t="0" r="r" b="b"/>
                <a:pathLst>
                  <a:path w="491" h="580">
                    <a:moveTo>
                      <a:pt x="473" y="62"/>
                    </a:moveTo>
                    <a:lnTo>
                      <a:pt x="464" y="44"/>
                    </a:lnTo>
                    <a:lnTo>
                      <a:pt x="446" y="17"/>
                    </a:lnTo>
                    <a:lnTo>
                      <a:pt x="428" y="17"/>
                    </a:lnTo>
                    <a:lnTo>
                      <a:pt x="393" y="35"/>
                    </a:lnTo>
                    <a:lnTo>
                      <a:pt x="384" y="35"/>
                    </a:lnTo>
                    <a:lnTo>
                      <a:pt x="366" y="26"/>
                    </a:lnTo>
                    <a:lnTo>
                      <a:pt x="357" y="9"/>
                    </a:lnTo>
                    <a:lnTo>
                      <a:pt x="330" y="0"/>
                    </a:lnTo>
                    <a:lnTo>
                      <a:pt x="285" y="0"/>
                    </a:lnTo>
                    <a:lnTo>
                      <a:pt x="241" y="0"/>
                    </a:lnTo>
                    <a:lnTo>
                      <a:pt x="223" y="0"/>
                    </a:lnTo>
                    <a:lnTo>
                      <a:pt x="214" y="9"/>
                    </a:lnTo>
                    <a:lnTo>
                      <a:pt x="196" y="26"/>
                    </a:lnTo>
                    <a:lnTo>
                      <a:pt x="169" y="26"/>
                    </a:lnTo>
                    <a:lnTo>
                      <a:pt x="160" y="26"/>
                    </a:lnTo>
                    <a:lnTo>
                      <a:pt x="143" y="35"/>
                    </a:lnTo>
                    <a:lnTo>
                      <a:pt x="125" y="35"/>
                    </a:lnTo>
                    <a:lnTo>
                      <a:pt x="107" y="35"/>
                    </a:lnTo>
                    <a:lnTo>
                      <a:pt x="89" y="44"/>
                    </a:lnTo>
                    <a:lnTo>
                      <a:pt x="80" y="62"/>
                    </a:lnTo>
                    <a:lnTo>
                      <a:pt x="98" y="71"/>
                    </a:lnTo>
                    <a:lnTo>
                      <a:pt x="107" y="71"/>
                    </a:lnTo>
                    <a:lnTo>
                      <a:pt x="107" y="80"/>
                    </a:lnTo>
                    <a:lnTo>
                      <a:pt x="116" y="89"/>
                    </a:lnTo>
                    <a:lnTo>
                      <a:pt x="116" y="107"/>
                    </a:lnTo>
                    <a:lnTo>
                      <a:pt x="125" y="116"/>
                    </a:lnTo>
                    <a:lnTo>
                      <a:pt x="125" y="125"/>
                    </a:lnTo>
                    <a:lnTo>
                      <a:pt x="134" y="142"/>
                    </a:lnTo>
                    <a:lnTo>
                      <a:pt x="134" y="151"/>
                    </a:lnTo>
                    <a:lnTo>
                      <a:pt x="125" y="169"/>
                    </a:lnTo>
                    <a:lnTo>
                      <a:pt x="125" y="169"/>
                    </a:lnTo>
                    <a:lnTo>
                      <a:pt x="107" y="178"/>
                    </a:lnTo>
                    <a:lnTo>
                      <a:pt x="98" y="187"/>
                    </a:lnTo>
                    <a:lnTo>
                      <a:pt x="98" y="196"/>
                    </a:lnTo>
                    <a:lnTo>
                      <a:pt x="98" y="205"/>
                    </a:lnTo>
                    <a:lnTo>
                      <a:pt x="80" y="214"/>
                    </a:lnTo>
                    <a:lnTo>
                      <a:pt x="71" y="223"/>
                    </a:lnTo>
                    <a:lnTo>
                      <a:pt x="62" y="232"/>
                    </a:lnTo>
                    <a:lnTo>
                      <a:pt x="62" y="241"/>
                    </a:lnTo>
                    <a:lnTo>
                      <a:pt x="53" y="250"/>
                    </a:lnTo>
                    <a:lnTo>
                      <a:pt x="53" y="276"/>
                    </a:lnTo>
                    <a:lnTo>
                      <a:pt x="62" y="285"/>
                    </a:lnTo>
                    <a:lnTo>
                      <a:pt x="71" y="285"/>
                    </a:lnTo>
                    <a:lnTo>
                      <a:pt x="80" y="294"/>
                    </a:lnTo>
                    <a:lnTo>
                      <a:pt x="89" y="303"/>
                    </a:lnTo>
                    <a:lnTo>
                      <a:pt x="89" y="321"/>
                    </a:lnTo>
                    <a:lnTo>
                      <a:pt x="80" y="339"/>
                    </a:lnTo>
                    <a:lnTo>
                      <a:pt x="80" y="348"/>
                    </a:lnTo>
                    <a:lnTo>
                      <a:pt x="62" y="348"/>
                    </a:lnTo>
                    <a:lnTo>
                      <a:pt x="44" y="348"/>
                    </a:lnTo>
                    <a:lnTo>
                      <a:pt x="26" y="348"/>
                    </a:lnTo>
                    <a:lnTo>
                      <a:pt x="26" y="357"/>
                    </a:lnTo>
                    <a:lnTo>
                      <a:pt x="17" y="366"/>
                    </a:lnTo>
                    <a:lnTo>
                      <a:pt x="26" y="384"/>
                    </a:lnTo>
                    <a:lnTo>
                      <a:pt x="9" y="392"/>
                    </a:lnTo>
                    <a:lnTo>
                      <a:pt x="0" y="392"/>
                    </a:lnTo>
                    <a:lnTo>
                      <a:pt x="0" y="410"/>
                    </a:lnTo>
                    <a:lnTo>
                      <a:pt x="9" y="428"/>
                    </a:lnTo>
                    <a:lnTo>
                      <a:pt x="9" y="446"/>
                    </a:lnTo>
                    <a:lnTo>
                      <a:pt x="17" y="464"/>
                    </a:lnTo>
                    <a:lnTo>
                      <a:pt x="35" y="464"/>
                    </a:lnTo>
                    <a:lnTo>
                      <a:pt x="35" y="491"/>
                    </a:lnTo>
                    <a:lnTo>
                      <a:pt x="35" y="491"/>
                    </a:lnTo>
                    <a:lnTo>
                      <a:pt x="44" y="500"/>
                    </a:lnTo>
                    <a:lnTo>
                      <a:pt x="62" y="517"/>
                    </a:lnTo>
                    <a:lnTo>
                      <a:pt x="62" y="526"/>
                    </a:lnTo>
                    <a:lnTo>
                      <a:pt x="62" y="553"/>
                    </a:lnTo>
                    <a:lnTo>
                      <a:pt x="80" y="571"/>
                    </a:lnTo>
                    <a:lnTo>
                      <a:pt x="89" y="580"/>
                    </a:lnTo>
                    <a:lnTo>
                      <a:pt x="116" y="580"/>
                    </a:lnTo>
                    <a:lnTo>
                      <a:pt x="134" y="571"/>
                    </a:lnTo>
                    <a:lnTo>
                      <a:pt x="151" y="562"/>
                    </a:lnTo>
                    <a:lnTo>
                      <a:pt x="178" y="544"/>
                    </a:lnTo>
                    <a:lnTo>
                      <a:pt x="187" y="535"/>
                    </a:lnTo>
                    <a:lnTo>
                      <a:pt x="196" y="526"/>
                    </a:lnTo>
                    <a:lnTo>
                      <a:pt x="214" y="526"/>
                    </a:lnTo>
                    <a:lnTo>
                      <a:pt x="241" y="526"/>
                    </a:lnTo>
                    <a:lnTo>
                      <a:pt x="268" y="526"/>
                    </a:lnTo>
                    <a:lnTo>
                      <a:pt x="294" y="526"/>
                    </a:lnTo>
                    <a:lnTo>
                      <a:pt x="294" y="509"/>
                    </a:lnTo>
                    <a:lnTo>
                      <a:pt x="303" y="500"/>
                    </a:lnTo>
                    <a:lnTo>
                      <a:pt x="303" y="482"/>
                    </a:lnTo>
                    <a:lnTo>
                      <a:pt x="303" y="464"/>
                    </a:lnTo>
                    <a:lnTo>
                      <a:pt x="321" y="464"/>
                    </a:lnTo>
                    <a:lnTo>
                      <a:pt x="321" y="455"/>
                    </a:lnTo>
                    <a:lnTo>
                      <a:pt x="321" y="446"/>
                    </a:lnTo>
                    <a:lnTo>
                      <a:pt x="339" y="437"/>
                    </a:lnTo>
                    <a:lnTo>
                      <a:pt x="357" y="428"/>
                    </a:lnTo>
                    <a:lnTo>
                      <a:pt x="366" y="428"/>
                    </a:lnTo>
                    <a:lnTo>
                      <a:pt x="384" y="428"/>
                    </a:lnTo>
                    <a:lnTo>
                      <a:pt x="402" y="428"/>
                    </a:lnTo>
                    <a:lnTo>
                      <a:pt x="402" y="428"/>
                    </a:lnTo>
                    <a:lnTo>
                      <a:pt x="410" y="419"/>
                    </a:lnTo>
                    <a:lnTo>
                      <a:pt x="419" y="401"/>
                    </a:lnTo>
                    <a:lnTo>
                      <a:pt x="419" y="392"/>
                    </a:lnTo>
                    <a:lnTo>
                      <a:pt x="419" y="392"/>
                    </a:lnTo>
                    <a:lnTo>
                      <a:pt x="437" y="392"/>
                    </a:lnTo>
                    <a:lnTo>
                      <a:pt x="455" y="384"/>
                    </a:lnTo>
                    <a:lnTo>
                      <a:pt x="464" y="384"/>
                    </a:lnTo>
                    <a:lnTo>
                      <a:pt x="473" y="366"/>
                    </a:lnTo>
                    <a:lnTo>
                      <a:pt x="473" y="348"/>
                    </a:lnTo>
                    <a:lnTo>
                      <a:pt x="473" y="339"/>
                    </a:lnTo>
                    <a:lnTo>
                      <a:pt x="482" y="339"/>
                    </a:lnTo>
                    <a:lnTo>
                      <a:pt x="482" y="321"/>
                    </a:lnTo>
                    <a:lnTo>
                      <a:pt x="491" y="312"/>
                    </a:lnTo>
                    <a:lnTo>
                      <a:pt x="491" y="294"/>
                    </a:lnTo>
                    <a:lnTo>
                      <a:pt x="482" y="285"/>
                    </a:lnTo>
                    <a:lnTo>
                      <a:pt x="464" y="276"/>
                    </a:lnTo>
                    <a:lnTo>
                      <a:pt x="464" y="250"/>
                    </a:lnTo>
                    <a:lnTo>
                      <a:pt x="464" y="232"/>
                    </a:lnTo>
                    <a:lnTo>
                      <a:pt x="473" y="214"/>
                    </a:lnTo>
                    <a:lnTo>
                      <a:pt x="491" y="214"/>
                    </a:lnTo>
                    <a:lnTo>
                      <a:pt x="491" y="196"/>
                    </a:lnTo>
                    <a:lnTo>
                      <a:pt x="491" y="178"/>
                    </a:lnTo>
                    <a:lnTo>
                      <a:pt x="482" y="169"/>
                    </a:lnTo>
                    <a:lnTo>
                      <a:pt x="464" y="169"/>
                    </a:lnTo>
                    <a:lnTo>
                      <a:pt x="446" y="160"/>
                    </a:lnTo>
                    <a:lnTo>
                      <a:pt x="446" y="142"/>
                    </a:lnTo>
                    <a:lnTo>
                      <a:pt x="446" y="125"/>
                    </a:lnTo>
                    <a:lnTo>
                      <a:pt x="455" y="116"/>
                    </a:lnTo>
                    <a:lnTo>
                      <a:pt x="464" y="98"/>
                    </a:lnTo>
                    <a:lnTo>
                      <a:pt x="464" y="80"/>
                    </a:lnTo>
                    <a:lnTo>
                      <a:pt x="473" y="62"/>
                    </a:lnTo>
                  </a:path>
                </a:pathLst>
              </a:custGeom>
              <a:solidFill>
                <a:srgbClr val="8EB4E3"/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53" name="Freeform 60">
                <a:extLst>
                  <a:ext uri="{FF2B5EF4-FFF2-40B4-BE49-F238E27FC236}">
                    <a16:creationId xmlns:a16="http://schemas.microsoft.com/office/drawing/2014/main" id="{E11007CF-C64C-42F8-8014-B9BE86F1C37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950" y="7030"/>
                <a:ext cx="1051" cy="1547"/>
              </a:xfrm>
              <a:custGeom>
                <a:avLst/>
                <a:gdLst>
                  <a:gd name="T0" fmla="*/ 161 w 474"/>
                  <a:gd name="T1" fmla="*/ 553 h 652"/>
                  <a:gd name="T2" fmla="*/ 98 w 474"/>
                  <a:gd name="T3" fmla="*/ 482 h 652"/>
                  <a:gd name="T4" fmla="*/ 63 w 474"/>
                  <a:gd name="T5" fmla="*/ 384 h 652"/>
                  <a:gd name="T6" fmla="*/ 98 w 474"/>
                  <a:gd name="T7" fmla="*/ 312 h 652"/>
                  <a:gd name="T8" fmla="*/ 36 w 474"/>
                  <a:gd name="T9" fmla="*/ 250 h 652"/>
                  <a:gd name="T10" fmla="*/ 18 w 474"/>
                  <a:gd name="T11" fmla="*/ 196 h 652"/>
                  <a:gd name="T12" fmla="*/ 0 w 474"/>
                  <a:gd name="T13" fmla="*/ 143 h 652"/>
                  <a:gd name="T14" fmla="*/ 81 w 474"/>
                  <a:gd name="T15" fmla="*/ 125 h 652"/>
                  <a:gd name="T16" fmla="*/ 143 w 474"/>
                  <a:gd name="T17" fmla="*/ 89 h 652"/>
                  <a:gd name="T18" fmla="*/ 179 w 474"/>
                  <a:gd name="T19" fmla="*/ 18 h 652"/>
                  <a:gd name="T20" fmla="*/ 197 w 474"/>
                  <a:gd name="T21" fmla="*/ 0 h 652"/>
                  <a:gd name="T22" fmla="*/ 206 w 474"/>
                  <a:gd name="T23" fmla="*/ 0 h 652"/>
                  <a:gd name="T24" fmla="*/ 215 w 474"/>
                  <a:gd name="T25" fmla="*/ 0 h 652"/>
                  <a:gd name="T26" fmla="*/ 215 w 474"/>
                  <a:gd name="T27" fmla="*/ 9 h 652"/>
                  <a:gd name="T28" fmla="*/ 215 w 474"/>
                  <a:gd name="T29" fmla="*/ 26 h 652"/>
                  <a:gd name="T30" fmla="*/ 215 w 474"/>
                  <a:gd name="T31" fmla="*/ 35 h 652"/>
                  <a:gd name="T32" fmla="*/ 223 w 474"/>
                  <a:gd name="T33" fmla="*/ 53 h 652"/>
                  <a:gd name="T34" fmla="*/ 232 w 474"/>
                  <a:gd name="T35" fmla="*/ 44 h 652"/>
                  <a:gd name="T36" fmla="*/ 241 w 474"/>
                  <a:gd name="T37" fmla="*/ 53 h 652"/>
                  <a:gd name="T38" fmla="*/ 241 w 474"/>
                  <a:gd name="T39" fmla="*/ 62 h 652"/>
                  <a:gd name="T40" fmla="*/ 241 w 474"/>
                  <a:gd name="T41" fmla="*/ 80 h 652"/>
                  <a:gd name="T42" fmla="*/ 241 w 474"/>
                  <a:gd name="T43" fmla="*/ 89 h 652"/>
                  <a:gd name="T44" fmla="*/ 250 w 474"/>
                  <a:gd name="T45" fmla="*/ 89 h 652"/>
                  <a:gd name="T46" fmla="*/ 268 w 474"/>
                  <a:gd name="T47" fmla="*/ 89 h 652"/>
                  <a:gd name="T48" fmla="*/ 268 w 474"/>
                  <a:gd name="T49" fmla="*/ 89 h 652"/>
                  <a:gd name="T50" fmla="*/ 286 w 474"/>
                  <a:gd name="T51" fmla="*/ 98 h 652"/>
                  <a:gd name="T52" fmla="*/ 295 w 474"/>
                  <a:gd name="T53" fmla="*/ 98 h 652"/>
                  <a:gd name="T54" fmla="*/ 295 w 474"/>
                  <a:gd name="T55" fmla="*/ 107 h 652"/>
                  <a:gd name="T56" fmla="*/ 295 w 474"/>
                  <a:gd name="T57" fmla="*/ 125 h 652"/>
                  <a:gd name="T58" fmla="*/ 304 w 474"/>
                  <a:gd name="T59" fmla="*/ 125 h 652"/>
                  <a:gd name="T60" fmla="*/ 313 w 474"/>
                  <a:gd name="T61" fmla="*/ 116 h 652"/>
                  <a:gd name="T62" fmla="*/ 322 w 474"/>
                  <a:gd name="T63" fmla="*/ 116 h 652"/>
                  <a:gd name="T64" fmla="*/ 331 w 474"/>
                  <a:gd name="T65" fmla="*/ 116 h 652"/>
                  <a:gd name="T66" fmla="*/ 340 w 474"/>
                  <a:gd name="T67" fmla="*/ 134 h 652"/>
                  <a:gd name="T68" fmla="*/ 340 w 474"/>
                  <a:gd name="T69" fmla="*/ 143 h 652"/>
                  <a:gd name="T70" fmla="*/ 349 w 474"/>
                  <a:gd name="T71" fmla="*/ 152 h 652"/>
                  <a:gd name="T72" fmla="*/ 357 w 474"/>
                  <a:gd name="T73" fmla="*/ 160 h 652"/>
                  <a:gd name="T74" fmla="*/ 375 w 474"/>
                  <a:gd name="T75" fmla="*/ 160 h 652"/>
                  <a:gd name="T76" fmla="*/ 384 w 474"/>
                  <a:gd name="T77" fmla="*/ 169 h 652"/>
                  <a:gd name="T78" fmla="*/ 393 w 474"/>
                  <a:gd name="T79" fmla="*/ 178 h 652"/>
                  <a:gd name="T80" fmla="*/ 402 w 474"/>
                  <a:gd name="T81" fmla="*/ 196 h 652"/>
                  <a:gd name="T82" fmla="*/ 402 w 474"/>
                  <a:gd name="T83" fmla="*/ 205 h 652"/>
                  <a:gd name="T84" fmla="*/ 402 w 474"/>
                  <a:gd name="T85" fmla="*/ 214 h 652"/>
                  <a:gd name="T86" fmla="*/ 402 w 474"/>
                  <a:gd name="T87" fmla="*/ 223 h 652"/>
                  <a:gd name="T88" fmla="*/ 411 w 474"/>
                  <a:gd name="T89" fmla="*/ 232 h 652"/>
                  <a:gd name="T90" fmla="*/ 429 w 474"/>
                  <a:gd name="T91" fmla="*/ 232 h 652"/>
                  <a:gd name="T92" fmla="*/ 447 w 474"/>
                  <a:gd name="T93" fmla="*/ 232 h 652"/>
                  <a:gd name="T94" fmla="*/ 456 w 474"/>
                  <a:gd name="T95" fmla="*/ 241 h 652"/>
                  <a:gd name="T96" fmla="*/ 456 w 474"/>
                  <a:gd name="T97" fmla="*/ 241 h 652"/>
                  <a:gd name="T98" fmla="*/ 465 w 474"/>
                  <a:gd name="T99" fmla="*/ 250 h 652"/>
                  <a:gd name="T100" fmla="*/ 465 w 474"/>
                  <a:gd name="T101" fmla="*/ 250 h 652"/>
                  <a:gd name="T102" fmla="*/ 474 w 474"/>
                  <a:gd name="T103" fmla="*/ 250 h 652"/>
                  <a:gd name="T104" fmla="*/ 474 w 474"/>
                  <a:gd name="T105" fmla="*/ 268 h 652"/>
                  <a:gd name="T106" fmla="*/ 474 w 474"/>
                  <a:gd name="T107" fmla="*/ 277 h 652"/>
                  <a:gd name="T108" fmla="*/ 429 w 474"/>
                  <a:gd name="T109" fmla="*/ 294 h 652"/>
                  <a:gd name="T110" fmla="*/ 375 w 474"/>
                  <a:gd name="T111" fmla="*/ 375 h 652"/>
                  <a:gd name="T112" fmla="*/ 340 w 474"/>
                  <a:gd name="T113" fmla="*/ 473 h 652"/>
                  <a:gd name="T114" fmla="*/ 277 w 474"/>
                  <a:gd name="T115" fmla="*/ 544 h 652"/>
                  <a:gd name="T116" fmla="*/ 250 w 474"/>
                  <a:gd name="T117" fmla="*/ 607 h 652"/>
                  <a:gd name="T118" fmla="*/ 215 w 474"/>
                  <a:gd name="T119" fmla="*/ 652 h 65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</a:cxnLst>
                <a:rect l="0" t="0" r="r" b="b"/>
                <a:pathLst>
                  <a:path w="474" h="652">
                    <a:moveTo>
                      <a:pt x="197" y="634"/>
                    </a:moveTo>
                    <a:lnTo>
                      <a:pt x="188" y="616"/>
                    </a:lnTo>
                    <a:lnTo>
                      <a:pt x="188" y="598"/>
                    </a:lnTo>
                    <a:lnTo>
                      <a:pt x="188" y="580"/>
                    </a:lnTo>
                    <a:lnTo>
                      <a:pt x="179" y="562"/>
                    </a:lnTo>
                    <a:lnTo>
                      <a:pt x="161" y="553"/>
                    </a:lnTo>
                    <a:lnTo>
                      <a:pt x="143" y="535"/>
                    </a:lnTo>
                    <a:lnTo>
                      <a:pt x="143" y="527"/>
                    </a:lnTo>
                    <a:lnTo>
                      <a:pt x="143" y="500"/>
                    </a:lnTo>
                    <a:lnTo>
                      <a:pt x="134" y="491"/>
                    </a:lnTo>
                    <a:lnTo>
                      <a:pt x="116" y="482"/>
                    </a:lnTo>
                    <a:lnTo>
                      <a:pt x="98" y="482"/>
                    </a:lnTo>
                    <a:lnTo>
                      <a:pt x="89" y="473"/>
                    </a:lnTo>
                    <a:lnTo>
                      <a:pt x="72" y="464"/>
                    </a:lnTo>
                    <a:lnTo>
                      <a:pt x="54" y="455"/>
                    </a:lnTo>
                    <a:lnTo>
                      <a:pt x="54" y="437"/>
                    </a:lnTo>
                    <a:lnTo>
                      <a:pt x="54" y="410"/>
                    </a:lnTo>
                    <a:lnTo>
                      <a:pt x="63" y="384"/>
                    </a:lnTo>
                    <a:lnTo>
                      <a:pt x="72" y="375"/>
                    </a:lnTo>
                    <a:lnTo>
                      <a:pt x="81" y="375"/>
                    </a:lnTo>
                    <a:lnTo>
                      <a:pt x="81" y="366"/>
                    </a:lnTo>
                    <a:lnTo>
                      <a:pt x="89" y="357"/>
                    </a:lnTo>
                    <a:lnTo>
                      <a:pt x="98" y="339"/>
                    </a:lnTo>
                    <a:lnTo>
                      <a:pt x="98" y="312"/>
                    </a:lnTo>
                    <a:lnTo>
                      <a:pt x="98" y="294"/>
                    </a:lnTo>
                    <a:lnTo>
                      <a:pt x="81" y="277"/>
                    </a:lnTo>
                    <a:lnTo>
                      <a:pt x="72" y="268"/>
                    </a:lnTo>
                    <a:lnTo>
                      <a:pt x="63" y="268"/>
                    </a:lnTo>
                    <a:lnTo>
                      <a:pt x="54" y="259"/>
                    </a:lnTo>
                    <a:lnTo>
                      <a:pt x="36" y="250"/>
                    </a:lnTo>
                    <a:lnTo>
                      <a:pt x="36" y="232"/>
                    </a:lnTo>
                    <a:lnTo>
                      <a:pt x="45" y="214"/>
                    </a:lnTo>
                    <a:lnTo>
                      <a:pt x="36" y="214"/>
                    </a:lnTo>
                    <a:lnTo>
                      <a:pt x="27" y="214"/>
                    </a:lnTo>
                    <a:lnTo>
                      <a:pt x="18" y="205"/>
                    </a:lnTo>
                    <a:lnTo>
                      <a:pt x="18" y="196"/>
                    </a:lnTo>
                    <a:lnTo>
                      <a:pt x="18" y="187"/>
                    </a:lnTo>
                    <a:lnTo>
                      <a:pt x="9" y="178"/>
                    </a:lnTo>
                    <a:lnTo>
                      <a:pt x="18" y="169"/>
                    </a:lnTo>
                    <a:lnTo>
                      <a:pt x="9" y="160"/>
                    </a:lnTo>
                    <a:lnTo>
                      <a:pt x="0" y="160"/>
                    </a:lnTo>
                    <a:lnTo>
                      <a:pt x="0" y="143"/>
                    </a:lnTo>
                    <a:lnTo>
                      <a:pt x="9" y="143"/>
                    </a:lnTo>
                    <a:lnTo>
                      <a:pt x="27" y="143"/>
                    </a:lnTo>
                    <a:lnTo>
                      <a:pt x="45" y="143"/>
                    </a:lnTo>
                    <a:lnTo>
                      <a:pt x="54" y="134"/>
                    </a:lnTo>
                    <a:lnTo>
                      <a:pt x="63" y="125"/>
                    </a:lnTo>
                    <a:lnTo>
                      <a:pt x="81" y="125"/>
                    </a:lnTo>
                    <a:lnTo>
                      <a:pt x="81" y="143"/>
                    </a:lnTo>
                    <a:lnTo>
                      <a:pt x="98" y="143"/>
                    </a:lnTo>
                    <a:lnTo>
                      <a:pt x="116" y="143"/>
                    </a:lnTo>
                    <a:lnTo>
                      <a:pt x="125" y="134"/>
                    </a:lnTo>
                    <a:lnTo>
                      <a:pt x="143" y="107"/>
                    </a:lnTo>
                    <a:lnTo>
                      <a:pt x="143" y="89"/>
                    </a:lnTo>
                    <a:lnTo>
                      <a:pt x="143" y="62"/>
                    </a:lnTo>
                    <a:lnTo>
                      <a:pt x="143" y="53"/>
                    </a:lnTo>
                    <a:lnTo>
                      <a:pt x="143" y="35"/>
                    </a:lnTo>
                    <a:lnTo>
                      <a:pt x="161" y="26"/>
                    </a:lnTo>
                    <a:lnTo>
                      <a:pt x="179" y="26"/>
                    </a:lnTo>
                    <a:lnTo>
                      <a:pt x="179" y="18"/>
                    </a:lnTo>
                    <a:lnTo>
                      <a:pt x="188" y="18"/>
                    </a:lnTo>
                    <a:lnTo>
                      <a:pt x="197" y="9"/>
                    </a:lnTo>
                    <a:lnTo>
                      <a:pt x="197" y="9"/>
                    </a:lnTo>
                    <a:lnTo>
                      <a:pt x="197" y="9"/>
                    </a:lnTo>
                    <a:lnTo>
                      <a:pt x="197" y="0"/>
                    </a:lnTo>
                    <a:lnTo>
                      <a:pt x="197" y="0"/>
                    </a:lnTo>
                    <a:lnTo>
                      <a:pt x="197" y="0"/>
                    </a:lnTo>
                    <a:lnTo>
                      <a:pt x="197" y="0"/>
                    </a:lnTo>
                    <a:lnTo>
                      <a:pt x="197" y="0"/>
                    </a:lnTo>
                    <a:lnTo>
                      <a:pt x="197" y="0"/>
                    </a:lnTo>
                    <a:lnTo>
                      <a:pt x="206" y="0"/>
                    </a:lnTo>
                    <a:lnTo>
                      <a:pt x="206" y="0"/>
                    </a:lnTo>
                    <a:lnTo>
                      <a:pt x="206" y="0"/>
                    </a:lnTo>
                    <a:lnTo>
                      <a:pt x="206" y="0"/>
                    </a:lnTo>
                    <a:lnTo>
                      <a:pt x="206" y="0"/>
                    </a:lnTo>
                    <a:lnTo>
                      <a:pt x="215" y="0"/>
                    </a:lnTo>
                    <a:lnTo>
                      <a:pt x="215" y="0"/>
                    </a:lnTo>
                    <a:lnTo>
                      <a:pt x="215" y="0"/>
                    </a:lnTo>
                    <a:lnTo>
                      <a:pt x="215" y="0"/>
                    </a:lnTo>
                    <a:lnTo>
                      <a:pt x="215" y="0"/>
                    </a:lnTo>
                    <a:lnTo>
                      <a:pt x="215" y="0"/>
                    </a:lnTo>
                    <a:lnTo>
                      <a:pt x="215" y="9"/>
                    </a:lnTo>
                    <a:lnTo>
                      <a:pt x="215" y="9"/>
                    </a:lnTo>
                    <a:lnTo>
                      <a:pt x="215" y="9"/>
                    </a:lnTo>
                    <a:lnTo>
                      <a:pt x="215" y="9"/>
                    </a:lnTo>
                    <a:lnTo>
                      <a:pt x="215" y="18"/>
                    </a:lnTo>
                    <a:lnTo>
                      <a:pt x="215" y="18"/>
                    </a:lnTo>
                    <a:lnTo>
                      <a:pt x="215" y="18"/>
                    </a:lnTo>
                    <a:lnTo>
                      <a:pt x="215" y="18"/>
                    </a:lnTo>
                    <a:lnTo>
                      <a:pt x="215" y="26"/>
                    </a:lnTo>
                    <a:lnTo>
                      <a:pt x="215" y="26"/>
                    </a:lnTo>
                    <a:lnTo>
                      <a:pt x="215" y="26"/>
                    </a:lnTo>
                    <a:lnTo>
                      <a:pt x="215" y="35"/>
                    </a:lnTo>
                    <a:lnTo>
                      <a:pt x="215" y="35"/>
                    </a:lnTo>
                    <a:lnTo>
                      <a:pt x="215" y="35"/>
                    </a:lnTo>
                    <a:lnTo>
                      <a:pt x="215" y="35"/>
                    </a:lnTo>
                    <a:lnTo>
                      <a:pt x="223" y="44"/>
                    </a:lnTo>
                    <a:lnTo>
                      <a:pt x="223" y="44"/>
                    </a:lnTo>
                    <a:lnTo>
                      <a:pt x="223" y="44"/>
                    </a:lnTo>
                    <a:lnTo>
                      <a:pt x="223" y="44"/>
                    </a:lnTo>
                    <a:lnTo>
                      <a:pt x="223" y="53"/>
                    </a:lnTo>
                    <a:lnTo>
                      <a:pt x="223" y="53"/>
                    </a:lnTo>
                    <a:lnTo>
                      <a:pt x="223" y="53"/>
                    </a:lnTo>
                    <a:lnTo>
                      <a:pt x="223" y="53"/>
                    </a:lnTo>
                    <a:lnTo>
                      <a:pt x="232" y="53"/>
                    </a:lnTo>
                    <a:lnTo>
                      <a:pt x="232" y="53"/>
                    </a:lnTo>
                    <a:lnTo>
                      <a:pt x="232" y="44"/>
                    </a:lnTo>
                    <a:lnTo>
                      <a:pt x="232" y="44"/>
                    </a:lnTo>
                    <a:lnTo>
                      <a:pt x="241" y="44"/>
                    </a:lnTo>
                    <a:lnTo>
                      <a:pt x="241" y="44"/>
                    </a:lnTo>
                    <a:lnTo>
                      <a:pt x="241" y="44"/>
                    </a:lnTo>
                    <a:lnTo>
                      <a:pt x="241" y="53"/>
                    </a:lnTo>
                    <a:lnTo>
                      <a:pt x="241" y="53"/>
                    </a:lnTo>
                    <a:lnTo>
                      <a:pt x="241" y="53"/>
                    </a:lnTo>
                    <a:lnTo>
                      <a:pt x="241" y="53"/>
                    </a:lnTo>
                    <a:lnTo>
                      <a:pt x="241" y="53"/>
                    </a:lnTo>
                    <a:lnTo>
                      <a:pt x="241" y="53"/>
                    </a:lnTo>
                    <a:lnTo>
                      <a:pt x="241" y="53"/>
                    </a:lnTo>
                    <a:lnTo>
                      <a:pt x="241" y="62"/>
                    </a:lnTo>
                    <a:lnTo>
                      <a:pt x="241" y="62"/>
                    </a:lnTo>
                    <a:lnTo>
                      <a:pt x="241" y="62"/>
                    </a:lnTo>
                    <a:lnTo>
                      <a:pt x="241" y="71"/>
                    </a:lnTo>
                    <a:lnTo>
                      <a:pt x="241" y="71"/>
                    </a:lnTo>
                    <a:lnTo>
                      <a:pt x="241" y="71"/>
                    </a:lnTo>
                    <a:lnTo>
                      <a:pt x="241" y="80"/>
                    </a:lnTo>
                    <a:lnTo>
                      <a:pt x="241" y="80"/>
                    </a:lnTo>
                    <a:lnTo>
                      <a:pt x="241" y="80"/>
                    </a:lnTo>
                    <a:lnTo>
                      <a:pt x="241" y="80"/>
                    </a:lnTo>
                    <a:lnTo>
                      <a:pt x="241" y="80"/>
                    </a:lnTo>
                    <a:lnTo>
                      <a:pt x="241" y="89"/>
                    </a:lnTo>
                    <a:lnTo>
                      <a:pt x="241" y="89"/>
                    </a:lnTo>
                    <a:lnTo>
                      <a:pt x="241" y="89"/>
                    </a:lnTo>
                    <a:lnTo>
                      <a:pt x="241" y="89"/>
                    </a:lnTo>
                    <a:lnTo>
                      <a:pt x="241" y="89"/>
                    </a:lnTo>
                    <a:lnTo>
                      <a:pt x="250" y="89"/>
                    </a:lnTo>
                    <a:lnTo>
                      <a:pt x="250" y="89"/>
                    </a:lnTo>
                    <a:lnTo>
                      <a:pt x="250" y="89"/>
                    </a:lnTo>
                    <a:lnTo>
                      <a:pt x="250" y="89"/>
                    </a:lnTo>
                    <a:lnTo>
                      <a:pt x="259" y="89"/>
                    </a:lnTo>
                    <a:lnTo>
                      <a:pt x="259" y="89"/>
                    </a:lnTo>
                    <a:lnTo>
                      <a:pt x="259" y="89"/>
                    </a:lnTo>
                    <a:lnTo>
                      <a:pt x="259" y="89"/>
                    </a:lnTo>
                    <a:lnTo>
                      <a:pt x="259" y="89"/>
                    </a:lnTo>
                    <a:lnTo>
                      <a:pt x="268" y="89"/>
                    </a:lnTo>
                    <a:lnTo>
                      <a:pt x="268" y="89"/>
                    </a:lnTo>
                    <a:lnTo>
                      <a:pt x="268" y="89"/>
                    </a:lnTo>
                    <a:lnTo>
                      <a:pt x="268" y="89"/>
                    </a:lnTo>
                    <a:lnTo>
                      <a:pt x="268" y="89"/>
                    </a:lnTo>
                    <a:lnTo>
                      <a:pt x="268" y="89"/>
                    </a:lnTo>
                    <a:lnTo>
                      <a:pt x="268" y="89"/>
                    </a:lnTo>
                    <a:lnTo>
                      <a:pt x="277" y="89"/>
                    </a:lnTo>
                    <a:lnTo>
                      <a:pt x="277" y="89"/>
                    </a:lnTo>
                    <a:lnTo>
                      <a:pt x="277" y="89"/>
                    </a:lnTo>
                    <a:lnTo>
                      <a:pt x="277" y="89"/>
                    </a:lnTo>
                    <a:lnTo>
                      <a:pt x="286" y="98"/>
                    </a:lnTo>
                    <a:lnTo>
                      <a:pt x="286" y="98"/>
                    </a:lnTo>
                    <a:lnTo>
                      <a:pt x="286" y="98"/>
                    </a:lnTo>
                    <a:lnTo>
                      <a:pt x="286" y="98"/>
                    </a:lnTo>
                    <a:lnTo>
                      <a:pt x="286" y="98"/>
                    </a:lnTo>
                    <a:lnTo>
                      <a:pt x="295" y="98"/>
                    </a:lnTo>
                    <a:lnTo>
                      <a:pt x="295" y="98"/>
                    </a:lnTo>
                    <a:lnTo>
                      <a:pt x="295" y="98"/>
                    </a:lnTo>
                    <a:lnTo>
                      <a:pt x="295" y="98"/>
                    </a:lnTo>
                    <a:lnTo>
                      <a:pt x="295" y="107"/>
                    </a:lnTo>
                    <a:lnTo>
                      <a:pt x="295" y="107"/>
                    </a:lnTo>
                    <a:lnTo>
                      <a:pt x="295" y="107"/>
                    </a:lnTo>
                    <a:lnTo>
                      <a:pt x="295" y="107"/>
                    </a:lnTo>
                    <a:lnTo>
                      <a:pt x="295" y="107"/>
                    </a:lnTo>
                    <a:lnTo>
                      <a:pt x="295" y="116"/>
                    </a:lnTo>
                    <a:lnTo>
                      <a:pt x="295" y="116"/>
                    </a:lnTo>
                    <a:lnTo>
                      <a:pt x="295" y="116"/>
                    </a:lnTo>
                    <a:lnTo>
                      <a:pt x="295" y="116"/>
                    </a:lnTo>
                    <a:lnTo>
                      <a:pt x="295" y="116"/>
                    </a:lnTo>
                    <a:lnTo>
                      <a:pt x="295" y="125"/>
                    </a:lnTo>
                    <a:lnTo>
                      <a:pt x="295" y="125"/>
                    </a:lnTo>
                    <a:lnTo>
                      <a:pt x="295" y="125"/>
                    </a:lnTo>
                    <a:lnTo>
                      <a:pt x="304" y="125"/>
                    </a:lnTo>
                    <a:lnTo>
                      <a:pt x="304" y="125"/>
                    </a:lnTo>
                    <a:lnTo>
                      <a:pt x="304" y="125"/>
                    </a:lnTo>
                    <a:lnTo>
                      <a:pt x="304" y="125"/>
                    </a:lnTo>
                    <a:lnTo>
                      <a:pt x="304" y="116"/>
                    </a:lnTo>
                    <a:lnTo>
                      <a:pt x="304" y="116"/>
                    </a:lnTo>
                    <a:lnTo>
                      <a:pt x="313" y="116"/>
                    </a:lnTo>
                    <a:lnTo>
                      <a:pt x="313" y="116"/>
                    </a:lnTo>
                    <a:lnTo>
                      <a:pt x="313" y="116"/>
                    </a:lnTo>
                    <a:lnTo>
                      <a:pt x="313" y="116"/>
                    </a:lnTo>
                    <a:lnTo>
                      <a:pt x="313" y="116"/>
                    </a:lnTo>
                    <a:lnTo>
                      <a:pt x="313" y="116"/>
                    </a:lnTo>
                    <a:lnTo>
                      <a:pt x="322" y="116"/>
                    </a:lnTo>
                    <a:lnTo>
                      <a:pt x="322" y="116"/>
                    </a:lnTo>
                    <a:lnTo>
                      <a:pt x="322" y="116"/>
                    </a:lnTo>
                    <a:lnTo>
                      <a:pt x="322" y="116"/>
                    </a:lnTo>
                    <a:lnTo>
                      <a:pt x="322" y="116"/>
                    </a:lnTo>
                    <a:lnTo>
                      <a:pt x="331" y="116"/>
                    </a:lnTo>
                    <a:lnTo>
                      <a:pt x="331" y="116"/>
                    </a:lnTo>
                    <a:lnTo>
                      <a:pt x="331" y="116"/>
                    </a:lnTo>
                    <a:lnTo>
                      <a:pt x="331" y="116"/>
                    </a:lnTo>
                    <a:lnTo>
                      <a:pt x="331" y="116"/>
                    </a:lnTo>
                    <a:lnTo>
                      <a:pt x="331" y="116"/>
                    </a:lnTo>
                    <a:lnTo>
                      <a:pt x="331" y="125"/>
                    </a:lnTo>
                    <a:lnTo>
                      <a:pt x="331" y="125"/>
                    </a:lnTo>
                    <a:lnTo>
                      <a:pt x="340" y="125"/>
                    </a:lnTo>
                    <a:lnTo>
                      <a:pt x="340" y="125"/>
                    </a:lnTo>
                    <a:lnTo>
                      <a:pt x="340" y="134"/>
                    </a:lnTo>
                    <a:lnTo>
                      <a:pt x="340" y="134"/>
                    </a:lnTo>
                    <a:lnTo>
                      <a:pt x="340" y="134"/>
                    </a:lnTo>
                    <a:lnTo>
                      <a:pt x="340" y="134"/>
                    </a:lnTo>
                    <a:lnTo>
                      <a:pt x="340" y="143"/>
                    </a:lnTo>
                    <a:lnTo>
                      <a:pt x="340" y="143"/>
                    </a:lnTo>
                    <a:lnTo>
                      <a:pt x="340" y="143"/>
                    </a:lnTo>
                    <a:lnTo>
                      <a:pt x="340" y="143"/>
                    </a:lnTo>
                    <a:lnTo>
                      <a:pt x="340" y="152"/>
                    </a:lnTo>
                    <a:lnTo>
                      <a:pt x="349" y="152"/>
                    </a:lnTo>
                    <a:lnTo>
                      <a:pt x="349" y="152"/>
                    </a:lnTo>
                    <a:lnTo>
                      <a:pt x="349" y="152"/>
                    </a:lnTo>
                    <a:lnTo>
                      <a:pt x="349" y="152"/>
                    </a:lnTo>
                    <a:lnTo>
                      <a:pt x="349" y="152"/>
                    </a:lnTo>
                    <a:lnTo>
                      <a:pt x="349" y="152"/>
                    </a:lnTo>
                    <a:lnTo>
                      <a:pt x="357" y="152"/>
                    </a:lnTo>
                    <a:lnTo>
                      <a:pt x="357" y="152"/>
                    </a:lnTo>
                    <a:lnTo>
                      <a:pt x="357" y="152"/>
                    </a:lnTo>
                    <a:lnTo>
                      <a:pt x="357" y="160"/>
                    </a:lnTo>
                    <a:lnTo>
                      <a:pt x="357" y="160"/>
                    </a:lnTo>
                    <a:lnTo>
                      <a:pt x="366" y="160"/>
                    </a:lnTo>
                    <a:lnTo>
                      <a:pt x="366" y="160"/>
                    </a:lnTo>
                    <a:lnTo>
                      <a:pt x="366" y="160"/>
                    </a:lnTo>
                    <a:lnTo>
                      <a:pt x="366" y="160"/>
                    </a:lnTo>
                    <a:lnTo>
                      <a:pt x="375" y="160"/>
                    </a:lnTo>
                    <a:lnTo>
                      <a:pt x="375" y="160"/>
                    </a:lnTo>
                    <a:lnTo>
                      <a:pt x="375" y="160"/>
                    </a:lnTo>
                    <a:lnTo>
                      <a:pt x="375" y="160"/>
                    </a:lnTo>
                    <a:lnTo>
                      <a:pt x="375" y="169"/>
                    </a:lnTo>
                    <a:lnTo>
                      <a:pt x="384" y="169"/>
                    </a:lnTo>
                    <a:lnTo>
                      <a:pt x="384" y="169"/>
                    </a:lnTo>
                    <a:lnTo>
                      <a:pt x="384" y="169"/>
                    </a:lnTo>
                    <a:lnTo>
                      <a:pt x="384" y="169"/>
                    </a:lnTo>
                    <a:lnTo>
                      <a:pt x="384" y="178"/>
                    </a:lnTo>
                    <a:lnTo>
                      <a:pt x="393" y="178"/>
                    </a:lnTo>
                    <a:lnTo>
                      <a:pt x="393" y="178"/>
                    </a:lnTo>
                    <a:lnTo>
                      <a:pt x="393" y="178"/>
                    </a:lnTo>
                    <a:lnTo>
                      <a:pt x="393" y="187"/>
                    </a:lnTo>
                    <a:lnTo>
                      <a:pt x="393" y="187"/>
                    </a:lnTo>
                    <a:lnTo>
                      <a:pt x="393" y="187"/>
                    </a:lnTo>
                    <a:lnTo>
                      <a:pt x="393" y="187"/>
                    </a:lnTo>
                    <a:lnTo>
                      <a:pt x="393" y="187"/>
                    </a:lnTo>
                    <a:lnTo>
                      <a:pt x="402" y="196"/>
                    </a:lnTo>
                    <a:lnTo>
                      <a:pt x="402" y="196"/>
                    </a:lnTo>
                    <a:lnTo>
                      <a:pt x="402" y="196"/>
                    </a:lnTo>
                    <a:lnTo>
                      <a:pt x="402" y="196"/>
                    </a:lnTo>
                    <a:lnTo>
                      <a:pt x="402" y="196"/>
                    </a:lnTo>
                    <a:lnTo>
                      <a:pt x="402" y="205"/>
                    </a:lnTo>
                    <a:lnTo>
                      <a:pt x="402" y="205"/>
                    </a:lnTo>
                    <a:lnTo>
                      <a:pt x="402" y="205"/>
                    </a:lnTo>
                    <a:lnTo>
                      <a:pt x="402" y="205"/>
                    </a:lnTo>
                    <a:lnTo>
                      <a:pt x="402" y="214"/>
                    </a:lnTo>
                    <a:lnTo>
                      <a:pt x="402" y="214"/>
                    </a:lnTo>
                    <a:lnTo>
                      <a:pt x="402" y="214"/>
                    </a:lnTo>
                    <a:lnTo>
                      <a:pt x="402" y="214"/>
                    </a:lnTo>
                    <a:lnTo>
                      <a:pt x="402" y="214"/>
                    </a:lnTo>
                    <a:lnTo>
                      <a:pt x="402" y="223"/>
                    </a:lnTo>
                    <a:lnTo>
                      <a:pt x="402" y="223"/>
                    </a:lnTo>
                    <a:lnTo>
                      <a:pt x="402" y="223"/>
                    </a:lnTo>
                    <a:lnTo>
                      <a:pt x="402" y="223"/>
                    </a:lnTo>
                    <a:lnTo>
                      <a:pt x="402" y="223"/>
                    </a:lnTo>
                    <a:lnTo>
                      <a:pt x="411" y="223"/>
                    </a:lnTo>
                    <a:lnTo>
                      <a:pt x="411" y="223"/>
                    </a:lnTo>
                    <a:lnTo>
                      <a:pt x="411" y="223"/>
                    </a:lnTo>
                    <a:lnTo>
                      <a:pt x="411" y="232"/>
                    </a:lnTo>
                    <a:lnTo>
                      <a:pt x="411" y="232"/>
                    </a:lnTo>
                    <a:lnTo>
                      <a:pt x="411" y="232"/>
                    </a:lnTo>
                    <a:lnTo>
                      <a:pt x="420" y="232"/>
                    </a:lnTo>
                    <a:lnTo>
                      <a:pt x="420" y="232"/>
                    </a:lnTo>
                    <a:lnTo>
                      <a:pt x="420" y="232"/>
                    </a:lnTo>
                    <a:lnTo>
                      <a:pt x="429" y="232"/>
                    </a:lnTo>
                    <a:lnTo>
                      <a:pt x="429" y="232"/>
                    </a:lnTo>
                    <a:lnTo>
                      <a:pt x="429" y="232"/>
                    </a:lnTo>
                    <a:lnTo>
                      <a:pt x="438" y="232"/>
                    </a:lnTo>
                    <a:lnTo>
                      <a:pt x="438" y="232"/>
                    </a:lnTo>
                    <a:lnTo>
                      <a:pt x="438" y="232"/>
                    </a:lnTo>
                    <a:lnTo>
                      <a:pt x="438" y="232"/>
                    </a:lnTo>
                    <a:lnTo>
                      <a:pt x="438" y="232"/>
                    </a:lnTo>
                    <a:lnTo>
                      <a:pt x="447" y="232"/>
                    </a:lnTo>
                    <a:lnTo>
                      <a:pt x="447" y="232"/>
                    </a:lnTo>
                    <a:lnTo>
                      <a:pt x="447" y="232"/>
                    </a:lnTo>
                    <a:lnTo>
                      <a:pt x="447" y="232"/>
                    </a:lnTo>
                    <a:lnTo>
                      <a:pt x="447" y="232"/>
                    </a:lnTo>
                    <a:lnTo>
                      <a:pt x="447" y="232"/>
                    </a:lnTo>
                    <a:lnTo>
                      <a:pt x="456" y="241"/>
                    </a:lnTo>
                    <a:lnTo>
                      <a:pt x="456" y="241"/>
                    </a:lnTo>
                    <a:lnTo>
                      <a:pt x="456" y="241"/>
                    </a:lnTo>
                    <a:lnTo>
                      <a:pt x="456" y="241"/>
                    </a:lnTo>
                    <a:lnTo>
                      <a:pt x="456" y="241"/>
                    </a:lnTo>
                    <a:lnTo>
                      <a:pt x="456" y="241"/>
                    </a:lnTo>
                    <a:lnTo>
                      <a:pt x="456" y="241"/>
                    </a:lnTo>
                    <a:lnTo>
                      <a:pt x="456" y="241"/>
                    </a:lnTo>
                    <a:lnTo>
                      <a:pt x="456" y="241"/>
                    </a:lnTo>
                    <a:lnTo>
                      <a:pt x="456" y="241"/>
                    </a:lnTo>
                    <a:lnTo>
                      <a:pt x="456" y="241"/>
                    </a:lnTo>
                    <a:lnTo>
                      <a:pt x="456" y="250"/>
                    </a:lnTo>
                    <a:lnTo>
                      <a:pt x="465" y="250"/>
                    </a:lnTo>
                    <a:lnTo>
                      <a:pt x="465" y="250"/>
                    </a:lnTo>
                    <a:lnTo>
                      <a:pt x="465" y="250"/>
                    </a:lnTo>
                    <a:lnTo>
                      <a:pt x="465" y="250"/>
                    </a:lnTo>
                    <a:lnTo>
                      <a:pt x="465" y="250"/>
                    </a:lnTo>
                    <a:lnTo>
                      <a:pt x="465" y="250"/>
                    </a:lnTo>
                    <a:lnTo>
                      <a:pt x="465" y="250"/>
                    </a:lnTo>
                    <a:lnTo>
                      <a:pt x="474" y="250"/>
                    </a:lnTo>
                    <a:lnTo>
                      <a:pt x="474" y="250"/>
                    </a:lnTo>
                    <a:lnTo>
                      <a:pt x="474" y="250"/>
                    </a:lnTo>
                    <a:lnTo>
                      <a:pt x="474" y="250"/>
                    </a:lnTo>
                    <a:lnTo>
                      <a:pt x="474" y="250"/>
                    </a:lnTo>
                    <a:lnTo>
                      <a:pt x="474" y="250"/>
                    </a:lnTo>
                    <a:lnTo>
                      <a:pt x="474" y="259"/>
                    </a:lnTo>
                    <a:lnTo>
                      <a:pt x="474" y="259"/>
                    </a:lnTo>
                    <a:lnTo>
                      <a:pt x="474" y="259"/>
                    </a:lnTo>
                    <a:lnTo>
                      <a:pt x="474" y="259"/>
                    </a:lnTo>
                    <a:lnTo>
                      <a:pt x="474" y="259"/>
                    </a:lnTo>
                    <a:lnTo>
                      <a:pt x="474" y="268"/>
                    </a:lnTo>
                    <a:lnTo>
                      <a:pt x="474" y="268"/>
                    </a:lnTo>
                    <a:lnTo>
                      <a:pt x="474" y="268"/>
                    </a:lnTo>
                    <a:lnTo>
                      <a:pt x="474" y="268"/>
                    </a:lnTo>
                    <a:lnTo>
                      <a:pt x="474" y="268"/>
                    </a:lnTo>
                    <a:lnTo>
                      <a:pt x="474" y="277"/>
                    </a:lnTo>
                    <a:lnTo>
                      <a:pt x="474" y="277"/>
                    </a:lnTo>
                    <a:lnTo>
                      <a:pt x="474" y="277"/>
                    </a:lnTo>
                    <a:lnTo>
                      <a:pt x="474" y="277"/>
                    </a:lnTo>
                    <a:lnTo>
                      <a:pt x="474" y="277"/>
                    </a:lnTo>
                    <a:lnTo>
                      <a:pt x="456" y="285"/>
                    </a:lnTo>
                    <a:lnTo>
                      <a:pt x="438" y="285"/>
                    </a:lnTo>
                    <a:lnTo>
                      <a:pt x="429" y="294"/>
                    </a:lnTo>
                    <a:lnTo>
                      <a:pt x="429" y="312"/>
                    </a:lnTo>
                    <a:lnTo>
                      <a:pt x="411" y="321"/>
                    </a:lnTo>
                    <a:lnTo>
                      <a:pt x="384" y="321"/>
                    </a:lnTo>
                    <a:lnTo>
                      <a:pt x="384" y="339"/>
                    </a:lnTo>
                    <a:lnTo>
                      <a:pt x="366" y="339"/>
                    </a:lnTo>
                    <a:lnTo>
                      <a:pt x="375" y="375"/>
                    </a:lnTo>
                    <a:lnTo>
                      <a:pt x="375" y="393"/>
                    </a:lnTo>
                    <a:lnTo>
                      <a:pt x="357" y="402"/>
                    </a:lnTo>
                    <a:lnTo>
                      <a:pt x="331" y="402"/>
                    </a:lnTo>
                    <a:lnTo>
                      <a:pt x="331" y="428"/>
                    </a:lnTo>
                    <a:lnTo>
                      <a:pt x="331" y="455"/>
                    </a:lnTo>
                    <a:lnTo>
                      <a:pt x="340" y="473"/>
                    </a:lnTo>
                    <a:lnTo>
                      <a:pt x="331" y="491"/>
                    </a:lnTo>
                    <a:lnTo>
                      <a:pt x="304" y="500"/>
                    </a:lnTo>
                    <a:lnTo>
                      <a:pt x="286" y="509"/>
                    </a:lnTo>
                    <a:lnTo>
                      <a:pt x="277" y="518"/>
                    </a:lnTo>
                    <a:lnTo>
                      <a:pt x="268" y="527"/>
                    </a:lnTo>
                    <a:lnTo>
                      <a:pt x="277" y="544"/>
                    </a:lnTo>
                    <a:lnTo>
                      <a:pt x="286" y="562"/>
                    </a:lnTo>
                    <a:lnTo>
                      <a:pt x="286" y="580"/>
                    </a:lnTo>
                    <a:lnTo>
                      <a:pt x="286" y="607"/>
                    </a:lnTo>
                    <a:lnTo>
                      <a:pt x="277" y="616"/>
                    </a:lnTo>
                    <a:lnTo>
                      <a:pt x="268" y="616"/>
                    </a:lnTo>
                    <a:lnTo>
                      <a:pt x="250" y="607"/>
                    </a:lnTo>
                    <a:lnTo>
                      <a:pt x="241" y="616"/>
                    </a:lnTo>
                    <a:lnTo>
                      <a:pt x="241" y="625"/>
                    </a:lnTo>
                    <a:lnTo>
                      <a:pt x="241" y="643"/>
                    </a:lnTo>
                    <a:lnTo>
                      <a:pt x="241" y="652"/>
                    </a:lnTo>
                    <a:lnTo>
                      <a:pt x="232" y="652"/>
                    </a:lnTo>
                    <a:lnTo>
                      <a:pt x="215" y="652"/>
                    </a:lnTo>
                    <a:lnTo>
                      <a:pt x="215" y="643"/>
                    </a:lnTo>
                    <a:lnTo>
                      <a:pt x="206" y="634"/>
                    </a:lnTo>
                    <a:lnTo>
                      <a:pt x="197" y="634"/>
                    </a:lnTo>
                  </a:path>
                </a:pathLst>
              </a:custGeom>
              <a:solidFill>
                <a:schemeClr val="tx2">
                  <a:lumMod val="60000"/>
                  <a:lumOff val="40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54" name="Freeform 61">
                <a:extLst>
                  <a:ext uri="{FF2B5EF4-FFF2-40B4-BE49-F238E27FC236}">
                    <a16:creationId xmlns:a16="http://schemas.microsoft.com/office/drawing/2014/main" id="{2E287EE1-0FB4-4754-82C3-7B560CB3125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147" y="9784"/>
                <a:ext cx="2025" cy="3113"/>
              </a:xfrm>
              <a:custGeom>
                <a:avLst/>
                <a:gdLst>
                  <a:gd name="T0" fmla="*/ 661 w 912"/>
                  <a:gd name="T1" fmla="*/ 187 h 1312"/>
                  <a:gd name="T2" fmla="*/ 644 w 912"/>
                  <a:gd name="T3" fmla="*/ 241 h 1312"/>
                  <a:gd name="T4" fmla="*/ 608 w 912"/>
                  <a:gd name="T5" fmla="*/ 285 h 1312"/>
                  <a:gd name="T6" fmla="*/ 635 w 912"/>
                  <a:gd name="T7" fmla="*/ 321 h 1312"/>
                  <a:gd name="T8" fmla="*/ 688 w 912"/>
                  <a:gd name="T9" fmla="*/ 366 h 1312"/>
                  <a:gd name="T10" fmla="*/ 697 w 912"/>
                  <a:gd name="T11" fmla="*/ 428 h 1312"/>
                  <a:gd name="T12" fmla="*/ 706 w 912"/>
                  <a:gd name="T13" fmla="*/ 509 h 1312"/>
                  <a:gd name="T14" fmla="*/ 724 w 912"/>
                  <a:gd name="T15" fmla="*/ 571 h 1312"/>
                  <a:gd name="T16" fmla="*/ 733 w 912"/>
                  <a:gd name="T17" fmla="*/ 660 h 1312"/>
                  <a:gd name="T18" fmla="*/ 733 w 912"/>
                  <a:gd name="T19" fmla="*/ 741 h 1312"/>
                  <a:gd name="T20" fmla="*/ 733 w 912"/>
                  <a:gd name="T21" fmla="*/ 821 h 1312"/>
                  <a:gd name="T22" fmla="*/ 697 w 912"/>
                  <a:gd name="T23" fmla="*/ 848 h 1312"/>
                  <a:gd name="T24" fmla="*/ 697 w 912"/>
                  <a:gd name="T25" fmla="*/ 884 h 1312"/>
                  <a:gd name="T26" fmla="*/ 733 w 912"/>
                  <a:gd name="T27" fmla="*/ 901 h 1312"/>
                  <a:gd name="T28" fmla="*/ 697 w 912"/>
                  <a:gd name="T29" fmla="*/ 946 h 1312"/>
                  <a:gd name="T30" fmla="*/ 688 w 912"/>
                  <a:gd name="T31" fmla="*/ 1000 h 1312"/>
                  <a:gd name="T32" fmla="*/ 724 w 912"/>
                  <a:gd name="T33" fmla="*/ 973 h 1312"/>
                  <a:gd name="T34" fmla="*/ 733 w 912"/>
                  <a:gd name="T35" fmla="*/ 982 h 1312"/>
                  <a:gd name="T36" fmla="*/ 751 w 912"/>
                  <a:gd name="T37" fmla="*/ 1026 h 1312"/>
                  <a:gd name="T38" fmla="*/ 778 w 912"/>
                  <a:gd name="T39" fmla="*/ 1018 h 1312"/>
                  <a:gd name="T40" fmla="*/ 795 w 912"/>
                  <a:gd name="T41" fmla="*/ 1044 h 1312"/>
                  <a:gd name="T42" fmla="*/ 831 w 912"/>
                  <a:gd name="T43" fmla="*/ 1080 h 1312"/>
                  <a:gd name="T44" fmla="*/ 867 w 912"/>
                  <a:gd name="T45" fmla="*/ 1089 h 1312"/>
                  <a:gd name="T46" fmla="*/ 876 w 912"/>
                  <a:gd name="T47" fmla="*/ 1116 h 1312"/>
                  <a:gd name="T48" fmla="*/ 912 w 912"/>
                  <a:gd name="T49" fmla="*/ 1125 h 1312"/>
                  <a:gd name="T50" fmla="*/ 903 w 912"/>
                  <a:gd name="T51" fmla="*/ 1160 h 1312"/>
                  <a:gd name="T52" fmla="*/ 894 w 912"/>
                  <a:gd name="T53" fmla="*/ 1214 h 1312"/>
                  <a:gd name="T54" fmla="*/ 903 w 912"/>
                  <a:gd name="T55" fmla="*/ 1259 h 1312"/>
                  <a:gd name="T56" fmla="*/ 912 w 912"/>
                  <a:gd name="T57" fmla="*/ 1294 h 1312"/>
                  <a:gd name="T58" fmla="*/ 894 w 912"/>
                  <a:gd name="T59" fmla="*/ 1303 h 1312"/>
                  <a:gd name="T60" fmla="*/ 858 w 912"/>
                  <a:gd name="T61" fmla="*/ 1303 h 1312"/>
                  <a:gd name="T62" fmla="*/ 822 w 912"/>
                  <a:gd name="T63" fmla="*/ 1268 h 1312"/>
                  <a:gd name="T64" fmla="*/ 787 w 912"/>
                  <a:gd name="T65" fmla="*/ 1241 h 1312"/>
                  <a:gd name="T66" fmla="*/ 769 w 912"/>
                  <a:gd name="T67" fmla="*/ 1223 h 1312"/>
                  <a:gd name="T68" fmla="*/ 715 w 912"/>
                  <a:gd name="T69" fmla="*/ 1223 h 1312"/>
                  <a:gd name="T70" fmla="*/ 670 w 912"/>
                  <a:gd name="T71" fmla="*/ 1214 h 1312"/>
                  <a:gd name="T72" fmla="*/ 653 w 912"/>
                  <a:gd name="T73" fmla="*/ 1250 h 1312"/>
                  <a:gd name="T74" fmla="*/ 617 w 912"/>
                  <a:gd name="T75" fmla="*/ 1223 h 1312"/>
                  <a:gd name="T76" fmla="*/ 581 w 912"/>
                  <a:gd name="T77" fmla="*/ 1187 h 1312"/>
                  <a:gd name="T78" fmla="*/ 545 w 912"/>
                  <a:gd name="T79" fmla="*/ 1151 h 1312"/>
                  <a:gd name="T80" fmla="*/ 519 w 912"/>
                  <a:gd name="T81" fmla="*/ 1134 h 1312"/>
                  <a:gd name="T82" fmla="*/ 483 w 912"/>
                  <a:gd name="T83" fmla="*/ 1143 h 1312"/>
                  <a:gd name="T84" fmla="*/ 456 w 912"/>
                  <a:gd name="T85" fmla="*/ 1125 h 1312"/>
                  <a:gd name="T86" fmla="*/ 420 w 912"/>
                  <a:gd name="T87" fmla="*/ 1134 h 1312"/>
                  <a:gd name="T88" fmla="*/ 394 w 912"/>
                  <a:gd name="T89" fmla="*/ 1143 h 1312"/>
                  <a:gd name="T90" fmla="*/ 367 w 912"/>
                  <a:gd name="T91" fmla="*/ 1107 h 1312"/>
                  <a:gd name="T92" fmla="*/ 322 w 912"/>
                  <a:gd name="T93" fmla="*/ 1116 h 1312"/>
                  <a:gd name="T94" fmla="*/ 286 w 912"/>
                  <a:gd name="T95" fmla="*/ 1089 h 1312"/>
                  <a:gd name="T96" fmla="*/ 268 w 912"/>
                  <a:gd name="T97" fmla="*/ 1080 h 1312"/>
                  <a:gd name="T98" fmla="*/ 260 w 912"/>
                  <a:gd name="T99" fmla="*/ 1044 h 1312"/>
                  <a:gd name="T100" fmla="*/ 215 w 912"/>
                  <a:gd name="T101" fmla="*/ 1026 h 1312"/>
                  <a:gd name="T102" fmla="*/ 179 w 912"/>
                  <a:gd name="T103" fmla="*/ 1053 h 1312"/>
                  <a:gd name="T104" fmla="*/ 143 w 912"/>
                  <a:gd name="T105" fmla="*/ 1035 h 1312"/>
                  <a:gd name="T106" fmla="*/ 81 w 912"/>
                  <a:gd name="T107" fmla="*/ 1026 h 1312"/>
                  <a:gd name="T108" fmla="*/ 54 w 912"/>
                  <a:gd name="T109" fmla="*/ 982 h 1312"/>
                  <a:gd name="T110" fmla="*/ 72 w 912"/>
                  <a:gd name="T111" fmla="*/ 937 h 1312"/>
                  <a:gd name="T112" fmla="*/ 63 w 912"/>
                  <a:gd name="T113" fmla="*/ 660 h 1312"/>
                  <a:gd name="T114" fmla="*/ 152 w 912"/>
                  <a:gd name="T115" fmla="*/ 428 h 1312"/>
                  <a:gd name="T116" fmla="*/ 322 w 912"/>
                  <a:gd name="T117" fmla="*/ 241 h 1312"/>
                  <a:gd name="T118" fmla="*/ 411 w 912"/>
                  <a:gd name="T119" fmla="*/ 116 h 1312"/>
                  <a:gd name="T120" fmla="*/ 545 w 912"/>
                  <a:gd name="T121" fmla="*/ 35 h 1312"/>
                  <a:gd name="T122" fmla="*/ 653 w 912"/>
                  <a:gd name="T123" fmla="*/ 151 h 131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</a:cxnLst>
                <a:rect l="0" t="0" r="r" b="b"/>
                <a:pathLst>
                  <a:path w="912" h="1312">
                    <a:moveTo>
                      <a:pt x="679" y="187"/>
                    </a:moveTo>
                    <a:lnTo>
                      <a:pt x="679" y="187"/>
                    </a:lnTo>
                    <a:lnTo>
                      <a:pt x="679" y="187"/>
                    </a:lnTo>
                    <a:lnTo>
                      <a:pt x="679" y="187"/>
                    </a:lnTo>
                    <a:lnTo>
                      <a:pt x="679" y="187"/>
                    </a:lnTo>
                    <a:lnTo>
                      <a:pt x="670" y="187"/>
                    </a:lnTo>
                    <a:lnTo>
                      <a:pt x="670" y="187"/>
                    </a:lnTo>
                    <a:lnTo>
                      <a:pt x="670" y="187"/>
                    </a:lnTo>
                    <a:lnTo>
                      <a:pt x="670" y="187"/>
                    </a:lnTo>
                    <a:lnTo>
                      <a:pt x="670" y="196"/>
                    </a:lnTo>
                    <a:lnTo>
                      <a:pt x="670" y="196"/>
                    </a:lnTo>
                    <a:lnTo>
                      <a:pt x="661" y="187"/>
                    </a:lnTo>
                    <a:lnTo>
                      <a:pt x="661" y="187"/>
                    </a:lnTo>
                    <a:lnTo>
                      <a:pt x="661" y="187"/>
                    </a:lnTo>
                    <a:lnTo>
                      <a:pt x="661" y="187"/>
                    </a:lnTo>
                    <a:lnTo>
                      <a:pt x="661" y="187"/>
                    </a:lnTo>
                    <a:lnTo>
                      <a:pt x="661" y="196"/>
                    </a:lnTo>
                    <a:lnTo>
                      <a:pt x="661" y="196"/>
                    </a:lnTo>
                    <a:lnTo>
                      <a:pt x="653" y="196"/>
                    </a:lnTo>
                    <a:lnTo>
                      <a:pt x="653" y="205"/>
                    </a:lnTo>
                    <a:lnTo>
                      <a:pt x="653" y="214"/>
                    </a:lnTo>
                    <a:lnTo>
                      <a:pt x="653" y="214"/>
                    </a:lnTo>
                    <a:lnTo>
                      <a:pt x="653" y="223"/>
                    </a:lnTo>
                    <a:lnTo>
                      <a:pt x="653" y="223"/>
                    </a:lnTo>
                    <a:lnTo>
                      <a:pt x="653" y="232"/>
                    </a:lnTo>
                    <a:lnTo>
                      <a:pt x="644" y="241"/>
                    </a:lnTo>
                    <a:lnTo>
                      <a:pt x="644" y="241"/>
                    </a:lnTo>
                    <a:lnTo>
                      <a:pt x="635" y="250"/>
                    </a:lnTo>
                    <a:lnTo>
                      <a:pt x="635" y="250"/>
                    </a:lnTo>
                    <a:lnTo>
                      <a:pt x="626" y="259"/>
                    </a:lnTo>
                    <a:lnTo>
                      <a:pt x="626" y="259"/>
                    </a:lnTo>
                    <a:lnTo>
                      <a:pt x="626" y="267"/>
                    </a:lnTo>
                    <a:lnTo>
                      <a:pt x="617" y="267"/>
                    </a:lnTo>
                    <a:lnTo>
                      <a:pt x="617" y="267"/>
                    </a:lnTo>
                    <a:lnTo>
                      <a:pt x="617" y="276"/>
                    </a:lnTo>
                    <a:lnTo>
                      <a:pt x="608" y="276"/>
                    </a:lnTo>
                    <a:lnTo>
                      <a:pt x="608" y="276"/>
                    </a:lnTo>
                    <a:lnTo>
                      <a:pt x="608" y="276"/>
                    </a:lnTo>
                    <a:lnTo>
                      <a:pt x="608" y="285"/>
                    </a:lnTo>
                    <a:lnTo>
                      <a:pt x="608" y="285"/>
                    </a:lnTo>
                    <a:lnTo>
                      <a:pt x="608" y="285"/>
                    </a:lnTo>
                    <a:lnTo>
                      <a:pt x="608" y="294"/>
                    </a:lnTo>
                    <a:lnTo>
                      <a:pt x="608" y="294"/>
                    </a:lnTo>
                    <a:lnTo>
                      <a:pt x="608" y="303"/>
                    </a:lnTo>
                    <a:lnTo>
                      <a:pt x="617" y="303"/>
                    </a:lnTo>
                    <a:lnTo>
                      <a:pt x="617" y="303"/>
                    </a:lnTo>
                    <a:lnTo>
                      <a:pt x="617" y="312"/>
                    </a:lnTo>
                    <a:lnTo>
                      <a:pt x="626" y="312"/>
                    </a:lnTo>
                    <a:lnTo>
                      <a:pt x="626" y="312"/>
                    </a:lnTo>
                    <a:lnTo>
                      <a:pt x="626" y="321"/>
                    </a:lnTo>
                    <a:lnTo>
                      <a:pt x="635" y="321"/>
                    </a:lnTo>
                    <a:lnTo>
                      <a:pt x="635" y="321"/>
                    </a:lnTo>
                    <a:lnTo>
                      <a:pt x="644" y="321"/>
                    </a:lnTo>
                    <a:lnTo>
                      <a:pt x="644" y="321"/>
                    </a:lnTo>
                    <a:lnTo>
                      <a:pt x="653" y="330"/>
                    </a:lnTo>
                    <a:lnTo>
                      <a:pt x="653" y="330"/>
                    </a:lnTo>
                    <a:lnTo>
                      <a:pt x="661" y="330"/>
                    </a:lnTo>
                    <a:lnTo>
                      <a:pt x="661" y="339"/>
                    </a:lnTo>
                    <a:lnTo>
                      <a:pt x="670" y="339"/>
                    </a:lnTo>
                    <a:lnTo>
                      <a:pt x="670" y="339"/>
                    </a:lnTo>
                    <a:lnTo>
                      <a:pt x="679" y="348"/>
                    </a:lnTo>
                    <a:lnTo>
                      <a:pt x="679" y="348"/>
                    </a:lnTo>
                    <a:lnTo>
                      <a:pt x="688" y="357"/>
                    </a:lnTo>
                    <a:lnTo>
                      <a:pt x="688" y="357"/>
                    </a:lnTo>
                    <a:lnTo>
                      <a:pt x="688" y="366"/>
                    </a:lnTo>
                    <a:lnTo>
                      <a:pt x="688" y="366"/>
                    </a:lnTo>
                    <a:lnTo>
                      <a:pt x="697" y="375"/>
                    </a:lnTo>
                    <a:lnTo>
                      <a:pt x="697" y="375"/>
                    </a:lnTo>
                    <a:lnTo>
                      <a:pt x="697" y="384"/>
                    </a:lnTo>
                    <a:lnTo>
                      <a:pt x="697" y="384"/>
                    </a:lnTo>
                    <a:lnTo>
                      <a:pt x="697" y="392"/>
                    </a:lnTo>
                    <a:lnTo>
                      <a:pt x="697" y="392"/>
                    </a:lnTo>
                    <a:lnTo>
                      <a:pt x="697" y="401"/>
                    </a:lnTo>
                    <a:lnTo>
                      <a:pt x="697" y="401"/>
                    </a:lnTo>
                    <a:lnTo>
                      <a:pt x="697" y="410"/>
                    </a:lnTo>
                    <a:lnTo>
                      <a:pt x="697" y="419"/>
                    </a:lnTo>
                    <a:lnTo>
                      <a:pt x="697" y="428"/>
                    </a:lnTo>
                    <a:lnTo>
                      <a:pt x="697" y="428"/>
                    </a:lnTo>
                    <a:lnTo>
                      <a:pt x="697" y="437"/>
                    </a:lnTo>
                    <a:lnTo>
                      <a:pt x="697" y="446"/>
                    </a:lnTo>
                    <a:lnTo>
                      <a:pt x="697" y="455"/>
                    </a:lnTo>
                    <a:lnTo>
                      <a:pt x="697" y="455"/>
                    </a:lnTo>
                    <a:lnTo>
                      <a:pt x="697" y="464"/>
                    </a:lnTo>
                    <a:lnTo>
                      <a:pt x="697" y="473"/>
                    </a:lnTo>
                    <a:lnTo>
                      <a:pt x="697" y="473"/>
                    </a:lnTo>
                    <a:lnTo>
                      <a:pt x="697" y="482"/>
                    </a:lnTo>
                    <a:lnTo>
                      <a:pt x="706" y="482"/>
                    </a:lnTo>
                    <a:lnTo>
                      <a:pt x="706" y="491"/>
                    </a:lnTo>
                    <a:lnTo>
                      <a:pt x="706" y="500"/>
                    </a:lnTo>
                    <a:lnTo>
                      <a:pt x="706" y="500"/>
                    </a:lnTo>
                    <a:lnTo>
                      <a:pt x="706" y="509"/>
                    </a:lnTo>
                    <a:lnTo>
                      <a:pt x="715" y="509"/>
                    </a:lnTo>
                    <a:lnTo>
                      <a:pt x="715" y="517"/>
                    </a:lnTo>
                    <a:lnTo>
                      <a:pt x="715" y="517"/>
                    </a:lnTo>
                    <a:lnTo>
                      <a:pt x="724" y="526"/>
                    </a:lnTo>
                    <a:lnTo>
                      <a:pt x="724" y="526"/>
                    </a:lnTo>
                    <a:lnTo>
                      <a:pt x="724" y="535"/>
                    </a:lnTo>
                    <a:lnTo>
                      <a:pt x="724" y="544"/>
                    </a:lnTo>
                    <a:lnTo>
                      <a:pt x="724" y="544"/>
                    </a:lnTo>
                    <a:lnTo>
                      <a:pt x="724" y="553"/>
                    </a:lnTo>
                    <a:lnTo>
                      <a:pt x="724" y="553"/>
                    </a:lnTo>
                    <a:lnTo>
                      <a:pt x="724" y="562"/>
                    </a:lnTo>
                    <a:lnTo>
                      <a:pt x="724" y="571"/>
                    </a:lnTo>
                    <a:lnTo>
                      <a:pt x="724" y="571"/>
                    </a:lnTo>
                    <a:lnTo>
                      <a:pt x="724" y="580"/>
                    </a:lnTo>
                    <a:lnTo>
                      <a:pt x="733" y="589"/>
                    </a:lnTo>
                    <a:lnTo>
                      <a:pt x="733" y="589"/>
                    </a:lnTo>
                    <a:lnTo>
                      <a:pt x="733" y="598"/>
                    </a:lnTo>
                    <a:lnTo>
                      <a:pt x="733" y="607"/>
                    </a:lnTo>
                    <a:lnTo>
                      <a:pt x="733" y="616"/>
                    </a:lnTo>
                    <a:lnTo>
                      <a:pt x="733" y="625"/>
                    </a:lnTo>
                    <a:lnTo>
                      <a:pt x="733" y="625"/>
                    </a:lnTo>
                    <a:lnTo>
                      <a:pt x="742" y="634"/>
                    </a:lnTo>
                    <a:lnTo>
                      <a:pt x="742" y="642"/>
                    </a:lnTo>
                    <a:lnTo>
                      <a:pt x="742" y="651"/>
                    </a:lnTo>
                    <a:lnTo>
                      <a:pt x="733" y="660"/>
                    </a:lnTo>
                    <a:lnTo>
                      <a:pt x="733" y="660"/>
                    </a:lnTo>
                    <a:lnTo>
                      <a:pt x="733" y="669"/>
                    </a:lnTo>
                    <a:lnTo>
                      <a:pt x="733" y="678"/>
                    </a:lnTo>
                    <a:lnTo>
                      <a:pt x="733" y="687"/>
                    </a:lnTo>
                    <a:lnTo>
                      <a:pt x="733" y="687"/>
                    </a:lnTo>
                    <a:lnTo>
                      <a:pt x="733" y="696"/>
                    </a:lnTo>
                    <a:lnTo>
                      <a:pt x="733" y="705"/>
                    </a:lnTo>
                    <a:lnTo>
                      <a:pt x="733" y="705"/>
                    </a:lnTo>
                    <a:lnTo>
                      <a:pt x="733" y="714"/>
                    </a:lnTo>
                    <a:lnTo>
                      <a:pt x="733" y="723"/>
                    </a:lnTo>
                    <a:lnTo>
                      <a:pt x="733" y="723"/>
                    </a:lnTo>
                    <a:lnTo>
                      <a:pt x="733" y="732"/>
                    </a:lnTo>
                    <a:lnTo>
                      <a:pt x="733" y="732"/>
                    </a:lnTo>
                    <a:lnTo>
                      <a:pt x="733" y="741"/>
                    </a:lnTo>
                    <a:lnTo>
                      <a:pt x="733" y="750"/>
                    </a:lnTo>
                    <a:lnTo>
                      <a:pt x="733" y="759"/>
                    </a:lnTo>
                    <a:lnTo>
                      <a:pt x="733" y="767"/>
                    </a:lnTo>
                    <a:lnTo>
                      <a:pt x="733" y="767"/>
                    </a:lnTo>
                    <a:lnTo>
                      <a:pt x="733" y="776"/>
                    </a:lnTo>
                    <a:lnTo>
                      <a:pt x="733" y="785"/>
                    </a:lnTo>
                    <a:lnTo>
                      <a:pt x="733" y="794"/>
                    </a:lnTo>
                    <a:lnTo>
                      <a:pt x="733" y="794"/>
                    </a:lnTo>
                    <a:lnTo>
                      <a:pt x="733" y="803"/>
                    </a:lnTo>
                    <a:lnTo>
                      <a:pt x="733" y="812"/>
                    </a:lnTo>
                    <a:lnTo>
                      <a:pt x="733" y="812"/>
                    </a:lnTo>
                    <a:lnTo>
                      <a:pt x="733" y="821"/>
                    </a:lnTo>
                    <a:lnTo>
                      <a:pt x="733" y="821"/>
                    </a:lnTo>
                    <a:lnTo>
                      <a:pt x="733" y="830"/>
                    </a:lnTo>
                    <a:lnTo>
                      <a:pt x="733" y="830"/>
                    </a:lnTo>
                    <a:lnTo>
                      <a:pt x="733" y="839"/>
                    </a:lnTo>
                    <a:lnTo>
                      <a:pt x="724" y="839"/>
                    </a:lnTo>
                    <a:lnTo>
                      <a:pt x="724" y="839"/>
                    </a:lnTo>
                    <a:lnTo>
                      <a:pt x="715" y="839"/>
                    </a:lnTo>
                    <a:lnTo>
                      <a:pt x="715" y="839"/>
                    </a:lnTo>
                    <a:lnTo>
                      <a:pt x="715" y="839"/>
                    </a:lnTo>
                    <a:lnTo>
                      <a:pt x="706" y="839"/>
                    </a:lnTo>
                    <a:lnTo>
                      <a:pt x="706" y="848"/>
                    </a:lnTo>
                    <a:lnTo>
                      <a:pt x="706" y="848"/>
                    </a:lnTo>
                    <a:lnTo>
                      <a:pt x="697" y="848"/>
                    </a:lnTo>
                    <a:lnTo>
                      <a:pt x="697" y="848"/>
                    </a:lnTo>
                    <a:lnTo>
                      <a:pt x="697" y="857"/>
                    </a:lnTo>
                    <a:lnTo>
                      <a:pt x="697" y="857"/>
                    </a:lnTo>
                    <a:lnTo>
                      <a:pt x="697" y="857"/>
                    </a:lnTo>
                    <a:lnTo>
                      <a:pt x="697" y="857"/>
                    </a:lnTo>
                    <a:lnTo>
                      <a:pt x="697" y="866"/>
                    </a:lnTo>
                    <a:lnTo>
                      <a:pt x="697" y="866"/>
                    </a:lnTo>
                    <a:lnTo>
                      <a:pt x="697" y="866"/>
                    </a:lnTo>
                    <a:lnTo>
                      <a:pt x="697" y="875"/>
                    </a:lnTo>
                    <a:lnTo>
                      <a:pt x="697" y="875"/>
                    </a:lnTo>
                    <a:lnTo>
                      <a:pt x="697" y="875"/>
                    </a:lnTo>
                    <a:lnTo>
                      <a:pt x="697" y="884"/>
                    </a:lnTo>
                    <a:lnTo>
                      <a:pt x="697" y="884"/>
                    </a:lnTo>
                    <a:lnTo>
                      <a:pt x="697" y="884"/>
                    </a:lnTo>
                    <a:lnTo>
                      <a:pt x="706" y="884"/>
                    </a:lnTo>
                    <a:lnTo>
                      <a:pt x="706" y="893"/>
                    </a:lnTo>
                    <a:lnTo>
                      <a:pt x="706" y="893"/>
                    </a:lnTo>
                    <a:lnTo>
                      <a:pt x="715" y="893"/>
                    </a:lnTo>
                    <a:lnTo>
                      <a:pt x="715" y="893"/>
                    </a:lnTo>
                    <a:lnTo>
                      <a:pt x="724" y="893"/>
                    </a:lnTo>
                    <a:lnTo>
                      <a:pt x="724" y="893"/>
                    </a:lnTo>
                    <a:lnTo>
                      <a:pt x="724" y="893"/>
                    </a:lnTo>
                    <a:lnTo>
                      <a:pt x="724" y="893"/>
                    </a:lnTo>
                    <a:lnTo>
                      <a:pt x="724" y="893"/>
                    </a:lnTo>
                    <a:lnTo>
                      <a:pt x="733" y="901"/>
                    </a:lnTo>
                    <a:lnTo>
                      <a:pt x="733" y="901"/>
                    </a:lnTo>
                    <a:lnTo>
                      <a:pt x="733" y="901"/>
                    </a:lnTo>
                    <a:lnTo>
                      <a:pt x="733" y="901"/>
                    </a:lnTo>
                    <a:lnTo>
                      <a:pt x="724" y="910"/>
                    </a:lnTo>
                    <a:lnTo>
                      <a:pt x="724" y="910"/>
                    </a:lnTo>
                    <a:lnTo>
                      <a:pt x="724" y="910"/>
                    </a:lnTo>
                    <a:lnTo>
                      <a:pt x="724" y="919"/>
                    </a:lnTo>
                    <a:lnTo>
                      <a:pt x="715" y="919"/>
                    </a:lnTo>
                    <a:lnTo>
                      <a:pt x="715" y="919"/>
                    </a:lnTo>
                    <a:lnTo>
                      <a:pt x="715" y="928"/>
                    </a:lnTo>
                    <a:lnTo>
                      <a:pt x="706" y="928"/>
                    </a:lnTo>
                    <a:lnTo>
                      <a:pt x="706" y="928"/>
                    </a:lnTo>
                    <a:lnTo>
                      <a:pt x="697" y="937"/>
                    </a:lnTo>
                    <a:lnTo>
                      <a:pt x="697" y="937"/>
                    </a:lnTo>
                    <a:lnTo>
                      <a:pt x="697" y="946"/>
                    </a:lnTo>
                    <a:lnTo>
                      <a:pt x="697" y="946"/>
                    </a:lnTo>
                    <a:lnTo>
                      <a:pt x="697" y="946"/>
                    </a:lnTo>
                    <a:lnTo>
                      <a:pt x="688" y="955"/>
                    </a:lnTo>
                    <a:lnTo>
                      <a:pt x="688" y="955"/>
                    </a:lnTo>
                    <a:lnTo>
                      <a:pt x="688" y="964"/>
                    </a:lnTo>
                    <a:lnTo>
                      <a:pt x="688" y="964"/>
                    </a:lnTo>
                    <a:lnTo>
                      <a:pt x="688" y="973"/>
                    </a:lnTo>
                    <a:lnTo>
                      <a:pt x="688" y="973"/>
                    </a:lnTo>
                    <a:lnTo>
                      <a:pt x="688" y="982"/>
                    </a:lnTo>
                    <a:lnTo>
                      <a:pt x="688" y="982"/>
                    </a:lnTo>
                    <a:lnTo>
                      <a:pt x="688" y="991"/>
                    </a:lnTo>
                    <a:lnTo>
                      <a:pt x="688" y="991"/>
                    </a:lnTo>
                    <a:lnTo>
                      <a:pt x="688" y="1000"/>
                    </a:lnTo>
                    <a:lnTo>
                      <a:pt x="697" y="1000"/>
                    </a:lnTo>
                    <a:lnTo>
                      <a:pt x="697" y="1000"/>
                    </a:lnTo>
                    <a:lnTo>
                      <a:pt x="697" y="1000"/>
                    </a:lnTo>
                    <a:lnTo>
                      <a:pt x="706" y="1000"/>
                    </a:lnTo>
                    <a:lnTo>
                      <a:pt x="706" y="1000"/>
                    </a:lnTo>
                    <a:lnTo>
                      <a:pt x="706" y="991"/>
                    </a:lnTo>
                    <a:lnTo>
                      <a:pt x="706" y="991"/>
                    </a:lnTo>
                    <a:lnTo>
                      <a:pt x="715" y="991"/>
                    </a:lnTo>
                    <a:lnTo>
                      <a:pt x="715" y="991"/>
                    </a:lnTo>
                    <a:lnTo>
                      <a:pt x="715" y="982"/>
                    </a:lnTo>
                    <a:lnTo>
                      <a:pt x="724" y="982"/>
                    </a:lnTo>
                    <a:lnTo>
                      <a:pt x="724" y="982"/>
                    </a:lnTo>
                    <a:lnTo>
                      <a:pt x="724" y="973"/>
                    </a:lnTo>
                    <a:lnTo>
                      <a:pt x="724" y="973"/>
                    </a:lnTo>
                    <a:lnTo>
                      <a:pt x="724" y="964"/>
                    </a:lnTo>
                    <a:lnTo>
                      <a:pt x="733" y="964"/>
                    </a:lnTo>
                    <a:lnTo>
                      <a:pt x="733" y="964"/>
                    </a:lnTo>
                    <a:lnTo>
                      <a:pt x="733" y="964"/>
                    </a:lnTo>
                    <a:lnTo>
                      <a:pt x="733" y="964"/>
                    </a:lnTo>
                    <a:lnTo>
                      <a:pt x="733" y="964"/>
                    </a:lnTo>
                    <a:lnTo>
                      <a:pt x="733" y="964"/>
                    </a:lnTo>
                    <a:lnTo>
                      <a:pt x="733" y="973"/>
                    </a:lnTo>
                    <a:lnTo>
                      <a:pt x="733" y="973"/>
                    </a:lnTo>
                    <a:lnTo>
                      <a:pt x="733" y="973"/>
                    </a:lnTo>
                    <a:lnTo>
                      <a:pt x="733" y="982"/>
                    </a:lnTo>
                    <a:lnTo>
                      <a:pt x="733" y="982"/>
                    </a:lnTo>
                    <a:lnTo>
                      <a:pt x="733" y="982"/>
                    </a:lnTo>
                    <a:lnTo>
                      <a:pt x="733" y="991"/>
                    </a:lnTo>
                    <a:lnTo>
                      <a:pt x="733" y="991"/>
                    </a:lnTo>
                    <a:lnTo>
                      <a:pt x="733" y="1000"/>
                    </a:lnTo>
                    <a:lnTo>
                      <a:pt x="733" y="1000"/>
                    </a:lnTo>
                    <a:lnTo>
                      <a:pt x="733" y="1009"/>
                    </a:lnTo>
                    <a:lnTo>
                      <a:pt x="733" y="1009"/>
                    </a:lnTo>
                    <a:lnTo>
                      <a:pt x="733" y="1009"/>
                    </a:lnTo>
                    <a:lnTo>
                      <a:pt x="733" y="1018"/>
                    </a:lnTo>
                    <a:lnTo>
                      <a:pt x="742" y="1018"/>
                    </a:lnTo>
                    <a:lnTo>
                      <a:pt x="742" y="1018"/>
                    </a:lnTo>
                    <a:lnTo>
                      <a:pt x="742" y="1026"/>
                    </a:lnTo>
                    <a:lnTo>
                      <a:pt x="751" y="1026"/>
                    </a:lnTo>
                    <a:lnTo>
                      <a:pt x="751" y="1026"/>
                    </a:lnTo>
                    <a:lnTo>
                      <a:pt x="751" y="1026"/>
                    </a:lnTo>
                    <a:lnTo>
                      <a:pt x="760" y="1026"/>
                    </a:lnTo>
                    <a:lnTo>
                      <a:pt x="760" y="1026"/>
                    </a:lnTo>
                    <a:lnTo>
                      <a:pt x="760" y="1026"/>
                    </a:lnTo>
                    <a:lnTo>
                      <a:pt x="769" y="1026"/>
                    </a:lnTo>
                    <a:lnTo>
                      <a:pt x="769" y="1026"/>
                    </a:lnTo>
                    <a:lnTo>
                      <a:pt x="769" y="1026"/>
                    </a:lnTo>
                    <a:lnTo>
                      <a:pt x="769" y="1018"/>
                    </a:lnTo>
                    <a:lnTo>
                      <a:pt x="778" y="1018"/>
                    </a:lnTo>
                    <a:lnTo>
                      <a:pt x="778" y="1018"/>
                    </a:lnTo>
                    <a:lnTo>
                      <a:pt x="778" y="1018"/>
                    </a:lnTo>
                    <a:lnTo>
                      <a:pt x="778" y="1018"/>
                    </a:lnTo>
                    <a:lnTo>
                      <a:pt x="787" y="1018"/>
                    </a:lnTo>
                    <a:lnTo>
                      <a:pt x="787" y="1018"/>
                    </a:lnTo>
                    <a:lnTo>
                      <a:pt x="787" y="1018"/>
                    </a:lnTo>
                    <a:lnTo>
                      <a:pt x="795" y="1018"/>
                    </a:lnTo>
                    <a:lnTo>
                      <a:pt x="795" y="1018"/>
                    </a:lnTo>
                    <a:lnTo>
                      <a:pt x="795" y="1026"/>
                    </a:lnTo>
                    <a:lnTo>
                      <a:pt x="795" y="1026"/>
                    </a:lnTo>
                    <a:lnTo>
                      <a:pt x="795" y="1026"/>
                    </a:lnTo>
                    <a:lnTo>
                      <a:pt x="795" y="1035"/>
                    </a:lnTo>
                    <a:lnTo>
                      <a:pt x="795" y="1035"/>
                    </a:lnTo>
                    <a:lnTo>
                      <a:pt x="795" y="1035"/>
                    </a:lnTo>
                    <a:lnTo>
                      <a:pt x="795" y="1044"/>
                    </a:lnTo>
                    <a:lnTo>
                      <a:pt x="795" y="1044"/>
                    </a:lnTo>
                    <a:lnTo>
                      <a:pt x="795" y="1044"/>
                    </a:lnTo>
                    <a:lnTo>
                      <a:pt x="795" y="1044"/>
                    </a:lnTo>
                    <a:lnTo>
                      <a:pt x="804" y="1044"/>
                    </a:lnTo>
                    <a:lnTo>
                      <a:pt x="804" y="1053"/>
                    </a:lnTo>
                    <a:lnTo>
                      <a:pt x="804" y="1053"/>
                    </a:lnTo>
                    <a:lnTo>
                      <a:pt x="804" y="1053"/>
                    </a:lnTo>
                    <a:lnTo>
                      <a:pt x="813" y="1053"/>
                    </a:lnTo>
                    <a:lnTo>
                      <a:pt x="813" y="1062"/>
                    </a:lnTo>
                    <a:lnTo>
                      <a:pt x="813" y="1062"/>
                    </a:lnTo>
                    <a:lnTo>
                      <a:pt x="822" y="1062"/>
                    </a:lnTo>
                    <a:lnTo>
                      <a:pt x="822" y="1071"/>
                    </a:lnTo>
                    <a:lnTo>
                      <a:pt x="822" y="1071"/>
                    </a:lnTo>
                    <a:lnTo>
                      <a:pt x="831" y="1080"/>
                    </a:lnTo>
                    <a:lnTo>
                      <a:pt x="831" y="1080"/>
                    </a:lnTo>
                    <a:lnTo>
                      <a:pt x="840" y="1080"/>
                    </a:lnTo>
                    <a:lnTo>
                      <a:pt x="840" y="1089"/>
                    </a:lnTo>
                    <a:lnTo>
                      <a:pt x="840" y="1089"/>
                    </a:lnTo>
                    <a:lnTo>
                      <a:pt x="849" y="1089"/>
                    </a:lnTo>
                    <a:lnTo>
                      <a:pt x="849" y="1089"/>
                    </a:lnTo>
                    <a:lnTo>
                      <a:pt x="858" y="1089"/>
                    </a:lnTo>
                    <a:lnTo>
                      <a:pt x="858" y="1089"/>
                    </a:lnTo>
                    <a:lnTo>
                      <a:pt x="858" y="1089"/>
                    </a:lnTo>
                    <a:lnTo>
                      <a:pt x="867" y="1089"/>
                    </a:lnTo>
                    <a:lnTo>
                      <a:pt x="867" y="1089"/>
                    </a:lnTo>
                    <a:lnTo>
                      <a:pt x="867" y="1089"/>
                    </a:lnTo>
                    <a:lnTo>
                      <a:pt x="867" y="1089"/>
                    </a:lnTo>
                    <a:lnTo>
                      <a:pt x="876" y="1089"/>
                    </a:lnTo>
                    <a:lnTo>
                      <a:pt x="876" y="1089"/>
                    </a:lnTo>
                    <a:lnTo>
                      <a:pt x="876" y="1089"/>
                    </a:lnTo>
                    <a:lnTo>
                      <a:pt x="876" y="1089"/>
                    </a:lnTo>
                    <a:lnTo>
                      <a:pt x="876" y="1089"/>
                    </a:lnTo>
                    <a:lnTo>
                      <a:pt x="876" y="1089"/>
                    </a:lnTo>
                    <a:lnTo>
                      <a:pt x="885" y="1098"/>
                    </a:lnTo>
                    <a:lnTo>
                      <a:pt x="876" y="1098"/>
                    </a:lnTo>
                    <a:lnTo>
                      <a:pt x="876" y="1098"/>
                    </a:lnTo>
                    <a:lnTo>
                      <a:pt x="876" y="1107"/>
                    </a:lnTo>
                    <a:lnTo>
                      <a:pt x="876" y="1107"/>
                    </a:lnTo>
                    <a:lnTo>
                      <a:pt x="876" y="1107"/>
                    </a:lnTo>
                    <a:lnTo>
                      <a:pt x="876" y="1116"/>
                    </a:lnTo>
                    <a:lnTo>
                      <a:pt x="876" y="1116"/>
                    </a:lnTo>
                    <a:lnTo>
                      <a:pt x="876" y="1116"/>
                    </a:lnTo>
                    <a:lnTo>
                      <a:pt x="885" y="1116"/>
                    </a:lnTo>
                    <a:lnTo>
                      <a:pt x="885" y="1116"/>
                    </a:lnTo>
                    <a:lnTo>
                      <a:pt x="885" y="1116"/>
                    </a:lnTo>
                    <a:lnTo>
                      <a:pt x="894" y="1116"/>
                    </a:lnTo>
                    <a:lnTo>
                      <a:pt x="894" y="1116"/>
                    </a:lnTo>
                    <a:lnTo>
                      <a:pt x="894" y="1116"/>
                    </a:lnTo>
                    <a:lnTo>
                      <a:pt x="903" y="1116"/>
                    </a:lnTo>
                    <a:lnTo>
                      <a:pt x="903" y="1116"/>
                    </a:lnTo>
                    <a:lnTo>
                      <a:pt x="903" y="1125"/>
                    </a:lnTo>
                    <a:lnTo>
                      <a:pt x="903" y="1125"/>
                    </a:lnTo>
                    <a:lnTo>
                      <a:pt x="912" y="1125"/>
                    </a:lnTo>
                    <a:lnTo>
                      <a:pt x="912" y="1125"/>
                    </a:lnTo>
                    <a:lnTo>
                      <a:pt x="912" y="1134"/>
                    </a:lnTo>
                    <a:lnTo>
                      <a:pt x="912" y="1134"/>
                    </a:lnTo>
                    <a:lnTo>
                      <a:pt x="912" y="1134"/>
                    </a:lnTo>
                    <a:lnTo>
                      <a:pt x="912" y="1143"/>
                    </a:lnTo>
                    <a:lnTo>
                      <a:pt x="912" y="1143"/>
                    </a:lnTo>
                    <a:lnTo>
                      <a:pt x="912" y="1143"/>
                    </a:lnTo>
                    <a:lnTo>
                      <a:pt x="912" y="1151"/>
                    </a:lnTo>
                    <a:lnTo>
                      <a:pt x="903" y="1151"/>
                    </a:lnTo>
                    <a:lnTo>
                      <a:pt x="903" y="1151"/>
                    </a:lnTo>
                    <a:lnTo>
                      <a:pt x="903" y="1160"/>
                    </a:lnTo>
                    <a:lnTo>
                      <a:pt x="903" y="1160"/>
                    </a:lnTo>
                    <a:lnTo>
                      <a:pt x="903" y="1160"/>
                    </a:lnTo>
                    <a:lnTo>
                      <a:pt x="894" y="1169"/>
                    </a:lnTo>
                    <a:lnTo>
                      <a:pt x="894" y="1169"/>
                    </a:lnTo>
                    <a:lnTo>
                      <a:pt x="894" y="1169"/>
                    </a:lnTo>
                    <a:lnTo>
                      <a:pt x="894" y="1178"/>
                    </a:lnTo>
                    <a:lnTo>
                      <a:pt x="894" y="1178"/>
                    </a:lnTo>
                    <a:lnTo>
                      <a:pt x="894" y="1187"/>
                    </a:lnTo>
                    <a:lnTo>
                      <a:pt x="894" y="1187"/>
                    </a:lnTo>
                    <a:lnTo>
                      <a:pt x="885" y="1187"/>
                    </a:lnTo>
                    <a:lnTo>
                      <a:pt x="885" y="1196"/>
                    </a:lnTo>
                    <a:lnTo>
                      <a:pt x="894" y="1196"/>
                    </a:lnTo>
                    <a:lnTo>
                      <a:pt x="894" y="1205"/>
                    </a:lnTo>
                    <a:lnTo>
                      <a:pt x="894" y="1205"/>
                    </a:lnTo>
                    <a:lnTo>
                      <a:pt x="894" y="1214"/>
                    </a:lnTo>
                    <a:lnTo>
                      <a:pt x="894" y="1214"/>
                    </a:lnTo>
                    <a:lnTo>
                      <a:pt x="894" y="1223"/>
                    </a:lnTo>
                    <a:lnTo>
                      <a:pt x="894" y="1223"/>
                    </a:lnTo>
                    <a:lnTo>
                      <a:pt x="894" y="1232"/>
                    </a:lnTo>
                    <a:lnTo>
                      <a:pt x="894" y="1232"/>
                    </a:lnTo>
                    <a:lnTo>
                      <a:pt x="894" y="1232"/>
                    </a:lnTo>
                    <a:lnTo>
                      <a:pt x="903" y="1241"/>
                    </a:lnTo>
                    <a:lnTo>
                      <a:pt x="903" y="1241"/>
                    </a:lnTo>
                    <a:lnTo>
                      <a:pt x="903" y="1250"/>
                    </a:lnTo>
                    <a:lnTo>
                      <a:pt x="903" y="1250"/>
                    </a:lnTo>
                    <a:lnTo>
                      <a:pt x="903" y="1250"/>
                    </a:lnTo>
                    <a:lnTo>
                      <a:pt x="903" y="1250"/>
                    </a:lnTo>
                    <a:lnTo>
                      <a:pt x="903" y="1259"/>
                    </a:lnTo>
                    <a:lnTo>
                      <a:pt x="903" y="1259"/>
                    </a:lnTo>
                    <a:lnTo>
                      <a:pt x="912" y="1259"/>
                    </a:lnTo>
                    <a:lnTo>
                      <a:pt x="912" y="1259"/>
                    </a:lnTo>
                    <a:lnTo>
                      <a:pt x="912" y="1268"/>
                    </a:lnTo>
                    <a:lnTo>
                      <a:pt x="912" y="1268"/>
                    </a:lnTo>
                    <a:lnTo>
                      <a:pt x="912" y="1268"/>
                    </a:lnTo>
                    <a:lnTo>
                      <a:pt x="912" y="1276"/>
                    </a:lnTo>
                    <a:lnTo>
                      <a:pt x="912" y="1276"/>
                    </a:lnTo>
                    <a:lnTo>
                      <a:pt x="912" y="1276"/>
                    </a:lnTo>
                    <a:lnTo>
                      <a:pt x="912" y="1285"/>
                    </a:lnTo>
                    <a:lnTo>
                      <a:pt x="912" y="1285"/>
                    </a:lnTo>
                    <a:lnTo>
                      <a:pt x="912" y="1294"/>
                    </a:lnTo>
                    <a:lnTo>
                      <a:pt x="912" y="1294"/>
                    </a:lnTo>
                    <a:lnTo>
                      <a:pt x="912" y="1294"/>
                    </a:lnTo>
                    <a:lnTo>
                      <a:pt x="912" y="1294"/>
                    </a:lnTo>
                    <a:lnTo>
                      <a:pt x="903" y="1294"/>
                    </a:lnTo>
                    <a:lnTo>
                      <a:pt x="903" y="1294"/>
                    </a:lnTo>
                    <a:lnTo>
                      <a:pt x="903" y="1294"/>
                    </a:lnTo>
                    <a:lnTo>
                      <a:pt x="903" y="1294"/>
                    </a:lnTo>
                    <a:lnTo>
                      <a:pt x="894" y="1294"/>
                    </a:lnTo>
                    <a:lnTo>
                      <a:pt x="894" y="1294"/>
                    </a:lnTo>
                    <a:lnTo>
                      <a:pt x="894" y="1294"/>
                    </a:lnTo>
                    <a:lnTo>
                      <a:pt x="894" y="1294"/>
                    </a:lnTo>
                    <a:lnTo>
                      <a:pt x="894" y="1303"/>
                    </a:lnTo>
                    <a:lnTo>
                      <a:pt x="894" y="1303"/>
                    </a:lnTo>
                    <a:lnTo>
                      <a:pt x="894" y="1303"/>
                    </a:lnTo>
                    <a:lnTo>
                      <a:pt x="894" y="1303"/>
                    </a:lnTo>
                    <a:lnTo>
                      <a:pt x="894" y="1312"/>
                    </a:lnTo>
                    <a:lnTo>
                      <a:pt x="894" y="1312"/>
                    </a:lnTo>
                    <a:lnTo>
                      <a:pt x="885" y="1312"/>
                    </a:lnTo>
                    <a:lnTo>
                      <a:pt x="885" y="1312"/>
                    </a:lnTo>
                    <a:lnTo>
                      <a:pt x="885" y="1312"/>
                    </a:lnTo>
                    <a:lnTo>
                      <a:pt x="876" y="1312"/>
                    </a:lnTo>
                    <a:lnTo>
                      <a:pt x="876" y="1312"/>
                    </a:lnTo>
                    <a:lnTo>
                      <a:pt x="876" y="1312"/>
                    </a:lnTo>
                    <a:lnTo>
                      <a:pt x="867" y="1312"/>
                    </a:lnTo>
                    <a:lnTo>
                      <a:pt x="867" y="1312"/>
                    </a:lnTo>
                    <a:lnTo>
                      <a:pt x="867" y="1312"/>
                    </a:lnTo>
                    <a:lnTo>
                      <a:pt x="858" y="1303"/>
                    </a:lnTo>
                    <a:lnTo>
                      <a:pt x="858" y="1303"/>
                    </a:lnTo>
                    <a:lnTo>
                      <a:pt x="858" y="1294"/>
                    </a:lnTo>
                    <a:lnTo>
                      <a:pt x="858" y="1285"/>
                    </a:lnTo>
                    <a:lnTo>
                      <a:pt x="858" y="1285"/>
                    </a:lnTo>
                    <a:lnTo>
                      <a:pt x="849" y="1276"/>
                    </a:lnTo>
                    <a:lnTo>
                      <a:pt x="849" y="1276"/>
                    </a:lnTo>
                    <a:lnTo>
                      <a:pt x="849" y="1276"/>
                    </a:lnTo>
                    <a:lnTo>
                      <a:pt x="840" y="1268"/>
                    </a:lnTo>
                    <a:lnTo>
                      <a:pt x="840" y="1268"/>
                    </a:lnTo>
                    <a:lnTo>
                      <a:pt x="831" y="1268"/>
                    </a:lnTo>
                    <a:lnTo>
                      <a:pt x="831" y="1268"/>
                    </a:lnTo>
                    <a:lnTo>
                      <a:pt x="822" y="1268"/>
                    </a:lnTo>
                    <a:lnTo>
                      <a:pt x="822" y="1268"/>
                    </a:lnTo>
                    <a:lnTo>
                      <a:pt x="822" y="1268"/>
                    </a:lnTo>
                    <a:lnTo>
                      <a:pt x="813" y="1268"/>
                    </a:lnTo>
                    <a:lnTo>
                      <a:pt x="813" y="1259"/>
                    </a:lnTo>
                    <a:lnTo>
                      <a:pt x="813" y="1259"/>
                    </a:lnTo>
                    <a:lnTo>
                      <a:pt x="813" y="1259"/>
                    </a:lnTo>
                    <a:lnTo>
                      <a:pt x="813" y="1250"/>
                    </a:lnTo>
                    <a:lnTo>
                      <a:pt x="813" y="1250"/>
                    </a:lnTo>
                    <a:lnTo>
                      <a:pt x="804" y="1241"/>
                    </a:lnTo>
                    <a:lnTo>
                      <a:pt x="804" y="1241"/>
                    </a:lnTo>
                    <a:lnTo>
                      <a:pt x="804" y="1241"/>
                    </a:lnTo>
                    <a:lnTo>
                      <a:pt x="795" y="1241"/>
                    </a:lnTo>
                    <a:lnTo>
                      <a:pt x="795" y="1241"/>
                    </a:lnTo>
                    <a:lnTo>
                      <a:pt x="787" y="1241"/>
                    </a:lnTo>
                    <a:lnTo>
                      <a:pt x="787" y="1241"/>
                    </a:lnTo>
                    <a:lnTo>
                      <a:pt x="787" y="1241"/>
                    </a:lnTo>
                    <a:lnTo>
                      <a:pt x="778" y="1241"/>
                    </a:lnTo>
                    <a:lnTo>
                      <a:pt x="778" y="1241"/>
                    </a:lnTo>
                    <a:lnTo>
                      <a:pt x="778" y="1241"/>
                    </a:lnTo>
                    <a:lnTo>
                      <a:pt x="769" y="1241"/>
                    </a:lnTo>
                    <a:lnTo>
                      <a:pt x="769" y="1232"/>
                    </a:lnTo>
                    <a:lnTo>
                      <a:pt x="769" y="1232"/>
                    </a:lnTo>
                    <a:lnTo>
                      <a:pt x="769" y="1232"/>
                    </a:lnTo>
                    <a:lnTo>
                      <a:pt x="769" y="1232"/>
                    </a:lnTo>
                    <a:lnTo>
                      <a:pt x="769" y="1223"/>
                    </a:lnTo>
                    <a:lnTo>
                      <a:pt x="769" y="1223"/>
                    </a:lnTo>
                    <a:lnTo>
                      <a:pt x="769" y="1223"/>
                    </a:lnTo>
                    <a:lnTo>
                      <a:pt x="760" y="1223"/>
                    </a:lnTo>
                    <a:lnTo>
                      <a:pt x="760" y="1223"/>
                    </a:lnTo>
                    <a:lnTo>
                      <a:pt x="751" y="1223"/>
                    </a:lnTo>
                    <a:lnTo>
                      <a:pt x="751" y="1232"/>
                    </a:lnTo>
                    <a:lnTo>
                      <a:pt x="742" y="1232"/>
                    </a:lnTo>
                    <a:lnTo>
                      <a:pt x="733" y="1232"/>
                    </a:lnTo>
                    <a:lnTo>
                      <a:pt x="733" y="1232"/>
                    </a:lnTo>
                    <a:lnTo>
                      <a:pt x="733" y="1232"/>
                    </a:lnTo>
                    <a:lnTo>
                      <a:pt x="724" y="1232"/>
                    </a:lnTo>
                    <a:lnTo>
                      <a:pt x="724" y="1223"/>
                    </a:lnTo>
                    <a:lnTo>
                      <a:pt x="715" y="1223"/>
                    </a:lnTo>
                    <a:lnTo>
                      <a:pt x="715" y="1223"/>
                    </a:lnTo>
                    <a:lnTo>
                      <a:pt x="715" y="1223"/>
                    </a:lnTo>
                    <a:lnTo>
                      <a:pt x="706" y="1223"/>
                    </a:lnTo>
                    <a:lnTo>
                      <a:pt x="706" y="1223"/>
                    </a:lnTo>
                    <a:lnTo>
                      <a:pt x="706" y="1223"/>
                    </a:lnTo>
                    <a:lnTo>
                      <a:pt x="697" y="1223"/>
                    </a:lnTo>
                    <a:lnTo>
                      <a:pt x="697" y="1214"/>
                    </a:lnTo>
                    <a:lnTo>
                      <a:pt x="697" y="1214"/>
                    </a:lnTo>
                    <a:lnTo>
                      <a:pt x="688" y="1214"/>
                    </a:lnTo>
                    <a:lnTo>
                      <a:pt x="688" y="1214"/>
                    </a:lnTo>
                    <a:lnTo>
                      <a:pt x="679" y="1214"/>
                    </a:lnTo>
                    <a:lnTo>
                      <a:pt x="679" y="1214"/>
                    </a:lnTo>
                    <a:lnTo>
                      <a:pt x="679" y="1214"/>
                    </a:lnTo>
                    <a:lnTo>
                      <a:pt x="679" y="1214"/>
                    </a:lnTo>
                    <a:lnTo>
                      <a:pt x="670" y="1214"/>
                    </a:lnTo>
                    <a:lnTo>
                      <a:pt x="670" y="1214"/>
                    </a:lnTo>
                    <a:lnTo>
                      <a:pt x="670" y="1214"/>
                    </a:lnTo>
                    <a:lnTo>
                      <a:pt x="661" y="1214"/>
                    </a:lnTo>
                    <a:lnTo>
                      <a:pt x="661" y="1214"/>
                    </a:lnTo>
                    <a:lnTo>
                      <a:pt x="661" y="1223"/>
                    </a:lnTo>
                    <a:lnTo>
                      <a:pt x="661" y="1223"/>
                    </a:lnTo>
                    <a:lnTo>
                      <a:pt x="661" y="1223"/>
                    </a:lnTo>
                    <a:lnTo>
                      <a:pt x="661" y="1232"/>
                    </a:lnTo>
                    <a:lnTo>
                      <a:pt x="661" y="1232"/>
                    </a:lnTo>
                    <a:lnTo>
                      <a:pt x="653" y="1241"/>
                    </a:lnTo>
                    <a:lnTo>
                      <a:pt x="653" y="1241"/>
                    </a:lnTo>
                    <a:lnTo>
                      <a:pt x="653" y="1241"/>
                    </a:lnTo>
                    <a:lnTo>
                      <a:pt x="653" y="1250"/>
                    </a:lnTo>
                    <a:lnTo>
                      <a:pt x="644" y="1250"/>
                    </a:lnTo>
                    <a:lnTo>
                      <a:pt x="644" y="1250"/>
                    </a:lnTo>
                    <a:lnTo>
                      <a:pt x="644" y="1241"/>
                    </a:lnTo>
                    <a:lnTo>
                      <a:pt x="635" y="1241"/>
                    </a:lnTo>
                    <a:lnTo>
                      <a:pt x="635" y="1241"/>
                    </a:lnTo>
                    <a:lnTo>
                      <a:pt x="635" y="1232"/>
                    </a:lnTo>
                    <a:lnTo>
                      <a:pt x="635" y="1232"/>
                    </a:lnTo>
                    <a:lnTo>
                      <a:pt x="626" y="1232"/>
                    </a:lnTo>
                    <a:lnTo>
                      <a:pt x="626" y="1232"/>
                    </a:lnTo>
                    <a:lnTo>
                      <a:pt x="626" y="1223"/>
                    </a:lnTo>
                    <a:lnTo>
                      <a:pt x="617" y="1223"/>
                    </a:lnTo>
                    <a:lnTo>
                      <a:pt x="617" y="1223"/>
                    </a:lnTo>
                    <a:lnTo>
                      <a:pt x="617" y="1223"/>
                    </a:lnTo>
                    <a:lnTo>
                      <a:pt x="617" y="1214"/>
                    </a:lnTo>
                    <a:lnTo>
                      <a:pt x="608" y="1214"/>
                    </a:lnTo>
                    <a:lnTo>
                      <a:pt x="608" y="1214"/>
                    </a:lnTo>
                    <a:lnTo>
                      <a:pt x="608" y="1214"/>
                    </a:lnTo>
                    <a:lnTo>
                      <a:pt x="599" y="1205"/>
                    </a:lnTo>
                    <a:lnTo>
                      <a:pt x="599" y="1205"/>
                    </a:lnTo>
                    <a:lnTo>
                      <a:pt x="599" y="1205"/>
                    </a:lnTo>
                    <a:lnTo>
                      <a:pt x="590" y="1205"/>
                    </a:lnTo>
                    <a:lnTo>
                      <a:pt x="590" y="1196"/>
                    </a:lnTo>
                    <a:lnTo>
                      <a:pt x="590" y="1196"/>
                    </a:lnTo>
                    <a:lnTo>
                      <a:pt x="590" y="1196"/>
                    </a:lnTo>
                    <a:lnTo>
                      <a:pt x="581" y="1187"/>
                    </a:lnTo>
                    <a:lnTo>
                      <a:pt x="581" y="1187"/>
                    </a:lnTo>
                    <a:lnTo>
                      <a:pt x="581" y="1178"/>
                    </a:lnTo>
                    <a:lnTo>
                      <a:pt x="581" y="1178"/>
                    </a:lnTo>
                    <a:lnTo>
                      <a:pt x="581" y="1169"/>
                    </a:lnTo>
                    <a:lnTo>
                      <a:pt x="581" y="1169"/>
                    </a:lnTo>
                    <a:lnTo>
                      <a:pt x="581" y="1160"/>
                    </a:lnTo>
                    <a:lnTo>
                      <a:pt x="572" y="1160"/>
                    </a:lnTo>
                    <a:lnTo>
                      <a:pt x="572" y="1160"/>
                    </a:lnTo>
                    <a:lnTo>
                      <a:pt x="572" y="1160"/>
                    </a:lnTo>
                    <a:lnTo>
                      <a:pt x="563" y="1151"/>
                    </a:lnTo>
                    <a:lnTo>
                      <a:pt x="563" y="1151"/>
                    </a:lnTo>
                    <a:lnTo>
                      <a:pt x="554" y="1151"/>
                    </a:lnTo>
                    <a:lnTo>
                      <a:pt x="554" y="1151"/>
                    </a:lnTo>
                    <a:lnTo>
                      <a:pt x="545" y="1151"/>
                    </a:lnTo>
                    <a:lnTo>
                      <a:pt x="545" y="1151"/>
                    </a:lnTo>
                    <a:lnTo>
                      <a:pt x="545" y="1143"/>
                    </a:lnTo>
                    <a:lnTo>
                      <a:pt x="545" y="1143"/>
                    </a:lnTo>
                    <a:lnTo>
                      <a:pt x="536" y="1143"/>
                    </a:lnTo>
                    <a:lnTo>
                      <a:pt x="536" y="1134"/>
                    </a:lnTo>
                    <a:lnTo>
                      <a:pt x="536" y="1134"/>
                    </a:lnTo>
                    <a:lnTo>
                      <a:pt x="536" y="1134"/>
                    </a:lnTo>
                    <a:lnTo>
                      <a:pt x="536" y="1125"/>
                    </a:lnTo>
                    <a:lnTo>
                      <a:pt x="527" y="1125"/>
                    </a:lnTo>
                    <a:lnTo>
                      <a:pt x="527" y="1125"/>
                    </a:lnTo>
                    <a:lnTo>
                      <a:pt x="527" y="1134"/>
                    </a:lnTo>
                    <a:lnTo>
                      <a:pt x="519" y="1134"/>
                    </a:lnTo>
                    <a:lnTo>
                      <a:pt x="519" y="1134"/>
                    </a:lnTo>
                    <a:lnTo>
                      <a:pt x="519" y="1134"/>
                    </a:lnTo>
                    <a:lnTo>
                      <a:pt x="510" y="1143"/>
                    </a:lnTo>
                    <a:lnTo>
                      <a:pt x="510" y="1143"/>
                    </a:lnTo>
                    <a:lnTo>
                      <a:pt x="510" y="1143"/>
                    </a:lnTo>
                    <a:lnTo>
                      <a:pt x="501" y="1143"/>
                    </a:lnTo>
                    <a:lnTo>
                      <a:pt x="501" y="1143"/>
                    </a:lnTo>
                    <a:lnTo>
                      <a:pt x="501" y="1143"/>
                    </a:lnTo>
                    <a:lnTo>
                      <a:pt x="492" y="1143"/>
                    </a:lnTo>
                    <a:lnTo>
                      <a:pt x="492" y="1143"/>
                    </a:lnTo>
                    <a:lnTo>
                      <a:pt x="492" y="1143"/>
                    </a:lnTo>
                    <a:lnTo>
                      <a:pt x="483" y="1143"/>
                    </a:lnTo>
                    <a:lnTo>
                      <a:pt x="483" y="1143"/>
                    </a:lnTo>
                    <a:lnTo>
                      <a:pt x="483" y="1143"/>
                    </a:lnTo>
                    <a:lnTo>
                      <a:pt x="483" y="1134"/>
                    </a:lnTo>
                    <a:lnTo>
                      <a:pt x="474" y="1134"/>
                    </a:lnTo>
                    <a:lnTo>
                      <a:pt x="474" y="1134"/>
                    </a:lnTo>
                    <a:lnTo>
                      <a:pt x="474" y="1125"/>
                    </a:lnTo>
                    <a:lnTo>
                      <a:pt x="474" y="1125"/>
                    </a:lnTo>
                    <a:lnTo>
                      <a:pt x="474" y="1125"/>
                    </a:lnTo>
                    <a:lnTo>
                      <a:pt x="465" y="1125"/>
                    </a:lnTo>
                    <a:lnTo>
                      <a:pt x="465" y="1125"/>
                    </a:lnTo>
                    <a:lnTo>
                      <a:pt x="465" y="1116"/>
                    </a:lnTo>
                    <a:lnTo>
                      <a:pt x="465" y="1116"/>
                    </a:lnTo>
                    <a:lnTo>
                      <a:pt x="456" y="1116"/>
                    </a:lnTo>
                    <a:lnTo>
                      <a:pt x="456" y="1125"/>
                    </a:lnTo>
                    <a:lnTo>
                      <a:pt x="456" y="1125"/>
                    </a:lnTo>
                    <a:lnTo>
                      <a:pt x="456" y="1125"/>
                    </a:lnTo>
                    <a:lnTo>
                      <a:pt x="447" y="1125"/>
                    </a:lnTo>
                    <a:lnTo>
                      <a:pt x="447" y="1125"/>
                    </a:lnTo>
                    <a:lnTo>
                      <a:pt x="447" y="1125"/>
                    </a:lnTo>
                    <a:lnTo>
                      <a:pt x="438" y="1125"/>
                    </a:lnTo>
                    <a:lnTo>
                      <a:pt x="438" y="1125"/>
                    </a:lnTo>
                    <a:lnTo>
                      <a:pt x="429" y="1125"/>
                    </a:lnTo>
                    <a:lnTo>
                      <a:pt x="429" y="1125"/>
                    </a:lnTo>
                    <a:lnTo>
                      <a:pt x="429" y="1125"/>
                    </a:lnTo>
                    <a:lnTo>
                      <a:pt x="420" y="1125"/>
                    </a:lnTo>
                    <a:lnTo>
                      <a:pt x="420" y="1125"/>
                    </a:lnTo>
                    <a:lnTo>
                      <a:pt x="420" y="1134"/>
                    </a:lnTo>
                    <a:lnTo>
                      <a:pt x="420" y="1134"/>
                    </a:lnTo>
                    <a:lnTo>
                      <a:pt x="420" y="1134"/>
                    </a:lnTo>
                    <a:lnTo>
                      <a:pt x="411" y="1134"/>
                    </a:lnTo>
                    <a:lnTo>
                      <a:pt x="411" y="1134"/>
                    </a:lnTo>
                    <a:lnTo>
                      <a:pt x="411" y="1143"/>
                    </a:lnTo>
                    <a:lnTo>
                      <a:pt x="411" y="1143"/>
                    </a:lnTo>
                    <a:lnTo>
                      <a:pt x="411" y="1143"/>
                    </a:lnTo>
                    <a:lnTo>
                      <a:pt x="402" y="1143"/>
                    </a:lnTo>
                    <a:lnTo>
                      <a:pt x="402" y="1143"/>
                    </a:lnTo>
                    <a:lnTo>
                      <a:pt x="402" y="1143"/>
                    </a:lnTo>
                    <a:lnTo>
                      <a:pt x="394" y="1143"/>
                    </a:lnTo>
                    <a:lnTo>
                      <a:pt x="394" y="1143"/>
                    </a:lnTo>
                    <a:lnTo>
                      <a:pt x="394" y="1143"/>
                    </a:lnTo>
                    <a:lnTo>
                      <a:pt x="394" y="1143"/>
                    </a:lnTo>
                    <a:lnTo>
                      <a:pt x="385" y="1134"/>
                    </a:lnTo>
                    <a:lnTo>
                      <a:pt x="385" y="1134"/>
                    </a:lnTo>
                    <a:lnTo>
                      <a:pt x="385" y="1125"/>
                    </a:lnTo>
                    <a:lnTo>
                      <a:pt x="385" y="1125"/>
                    </a:lnTo>
                    <a:lnTo>
                      <a:pt x="385" y="1116"/>
                    </a:lnTo>
                    <a:lnTo>
                      <a:pt x="385" y="1116"/>
                    </a:lnTo>
                    <a:lnTo>
                      <a:pt x="385" y="1116"/>
                    </a:lnTo>
                    <a:lnTo>
                      <a:pt x="376" y="1107"/>
                    </a:lnTo>
                    <a:lnTo>
                      <a:pt x="376" y="1107"/>
                    </a:lnTo>
                    <a:lnTo>
                      <a:pt x="376" y="1107"/>
                    </a:lnTo>
                    <a:lnTo>
                      <a:pt x="367" y="1107"/>
                    </a:lnTo>
                    <a:lnTo>
                      <a:pt x="367" y="1107"/>
                    </a:lnTo>
                    <a:lnTo>
                      <a:pt x="367" y="1107"/>
                    </a:lnTo>
                    <a:lnTo>
                      <a:pt x="367" y="1107"/>
                    </a:lnTo>
                    <a:lnTo>
                      <a:pt x="358" y="1107"/>
                    </a:lnTo>
                    <a:lnTo>
                      <a:pt x="358" y="1107"/>
                    </a:lnTo>
                    <a:lnTo>
                      <a:pt x="358" y="1107"/>
                    </a:lnTo>
                    <a:lnTo>
                      <a:pt x="349" y="1107"/>
                    </a:lnTo>
                    <a:lnTo>
                      <a:pt x="349" y="1116"/>
                    </a:lnTo>
                    <a:lnTo>
                      <a:pt x="349" y="1116"/>
                    </a:lnTo>
                    <a:lnTo>
                      <a:pt x="340" y="1116"/>
                    </a:lnTo>
                    <a:lnTo>
                      <a:pt x="340" y="1116"/>
                    </a:lnTo>
                    <a:lnTo>
                      <a:pt x="340" y="1116"/>
                    </a:lnTo>
                    <a:lnTo>
                      <a:pt x="331" y="1116"/>
                    </a:lnTo>
                    <a:lnTo>
                      <a:pt x="331" y="1116"/>
                    </a:lnTo>
                    <a:lnTo>
                      <a:pt x="322" y="1116"/>
                    </a:lnTo>
                    <a:lnTo>
                      <a:pt x="322" y="1116"/>
                    </a:lnTo>
                    <a:lnTo>
                      <a:pt x="322" y="1116"/>
                    </a:lnTo>
                    <a:lnTo>
                      <a:pt x="322" y="1107"/>
                    </a:lnTo>
                    <a:lnTo>
                      <a:pt x="313" y="1107"/>
                    </a:lnTo>
                    <a:lnTo>
                      <a:pt x="313" y="1107"/>
                    </a:lnTo>
                    <a:lnTo>
                      <a:pt x="313" y="1107"/>
                    </a:lnTo>
                    <a:lnTo>
                      <a:pt x="304" y="1107"/>
                    </a:lnTo>
                    <a:lnTo>
                      <a:pt x="304" y="1098"/>
                    </a:lnTo>
                    <a:lnTo>
                      <a:pt x="304" y="1098"/>
                    </a:lnTo>
                    <a:lnTo>
                      <a:pt x="295" y="1098"/>
                    </a:lnTo>
                    <a:lnTo>
                      <a:pt x="295" y="1098"/>
                    </a:lnTo>
                    <a:lnTo>
                      <a:pt x="295" y="1098"/>
                    </a:lnTo>
                    <a:lnTo>
                      <a:pt x="286" y="1089"/>
                    </a:lnTo>
                    <a:lnTo>
                      <a:pt x="286" y="1089"/>
                    </a:lnTo>
                    <a:lnTo>
                      <a:pt x="286" y="1089"/>
                    </a:lnTo>
                    <a:lnTo>
                      <a:pt x="286" y="1089"/>
                    </a:lnTo>
                    <a:lnTo>
                      <a:pt x="277" y="1089"/>
                    </a:lnTo>
                    <a:lnTo>
                      <a:pt x="277" y="1089"/>
                    </a:lnTo>
                    <a:lnTo>
                      <a:pt x="277" y="1089"/>
                    </a:lnTo>
                    <a:lnTo>
                      <a:pt x="277" y="1089"/>
                    </a:lnTo>
                    <a:lnTo>
                      <a:pt x="268" y="1089"/>
                    </a:lnTo>
                    <a:lnTo>
                      <a:pt x="268" y="1089"/>
                    </a:lnTo>
                    <a:lnTo>
                      <a:pt x="268" y="1089"/>
                    </a:lnTo>
                    <a:lnTo>
                      <a:pt x="268" y="1089"/>
                    </a:lnTo>
                    <a:lnTo>
                      <a:pt x="268" y="1080"/>
                    </a:lnTo>
                    <a:lnTo>
                      <a:pt x="268" y="1080"/>
                    </a:lnTo>
                    <a:lnTo>
                      <a:pt x="268" y="1080"/>
                    </a:lnTo>
                    <a:lnTo>
                      <a:pt x="268" y="1080"/>
                    </a:lnTo>
                    <a:lnTo>
                      <a:pt x="268" y="1080"/>
                    </a:lnTo>
                    <a:lnTo>
                      <a:pt x="268" y="1071"/>
                    </a:lnTo>
                    <a:lnTo>
                      <a:pt x="268" y="1071"/>
                    </a:lnTo>
                    <a:lnTo>
                      <a:pt x="268" y="1071"/>
                    </a:lnTo>
                    <a:lnTo>
                      <a:pt x="268" y="1062"/>
                    </a:lnTo>
                    <a:lnTo>
                      <a:pt x="268" y="1062"/>
                    </a:lnTo>
                    <a:lnTo>
                      <a:pt x="268" y="1062"/>
                    </a:lnTo>
                    <a:lnTo>
                      <a:pt x="260" y="1053"/>
                    </a:lnTo>
                    <a:lnTo>
                      <a:pt x="260" y="1053"/>
                    </a:lnTo>
                    <a:lnTo>
                      <a:pt x="260" y="1053"/>
                    </a:lnTo>
                    <a:lnTo>
                      <a:pt x="260" y="1044"/>
                    </a:lnTo>
                    <a:lnTo>
                      <a:pt x="260" y="1044"/>
                    </a:lnTo>
                    <a:lnTo>
                      <a:pt x="260" y="1035"/>
                    </a:lnTo>
                    <a:lnTo>
                      <a:pt x="251" y="1035"/>
                    </a:lnTo>
                    <a:lnTo>
                      <a:pt x="251" y="1035"/>
                    </a:lnTo>
                    <a:lnTo>
                      <a:pt x="251" y="1026"/>
                    </a:lnTo>
                    <a:lnTo>
                      <a:pt x="242" y="1026"/>
                    </a:lnTo>
                    <a:lnTo>
                      <a:pt x="242" y="1026"/>
                    </a:lnTo>
                    <a:lnTo>
                      <a:pt x="242" y="1026"/>
                    </a:lnTo>
                    <a:lnTo>
                      <a:pt x="233" y="1026"/>
                    </a:lnTo>
                    <a:lnTo>
                      <a:pt x="233" y="1026"/>
                    </a:lnTo>
                    <a:lnTo>
                      <a:pt x="224" y="1026"/>
                    </a:lnTo>
                    <a:lnTo>
                      <a:pt x="224" y="1026"/>
                    </a:lnTo>
                    <a:lnTo>
                      <a:pt x="215" y="1026"/>
                    </a:lnTo>
                    <a:lnTo>
                      <a:pt x="215" y="1026"/>
                    </a:lnTo>
                    <a:lnTo>
                      <a:pt x="206" y="1026"/>
                    </a:lnTo>
                    <a:lnTo>
                      <a:pt x="206" y="1026"/>
                    </a:lnTo>
                    <a:lnTo>
                      <a:pt x="197" y="1026"/>
                    </a:lnTo>
                    <a:lnTo>
                      <a:pt x="197" y="1035"/>
                    </a:lnTo>
                    <a:lnTo>
                      <a:pt x="197" y="1035"/>
                    </a:lnTo>
                    <a:lnTo>
                      <a:pt x="197" y="1035"/>
                    </a:lnTo>
                    <a:lnTo>
                      <a:pt x="197" y="1035"/>
                    </a:lnTo>
                    <a:lnTo>
                      <a:pt x="188" y="1044"/>
                    </a:lnTo>
                    <a:lnTo>
                      <a:pt x="188" y="1044"/>
                    </a:lnTo>
                    <a:lnTo>
                      <a:pt x="188" y="1044"/>
                    </a:lnTo>
                    <a:lnTo>
                      <a:pt x="179" y="1044"/>
                    </a:lnTo>
                    <a:lnTo>
                      <a:pt x="179" y="1053"/>
                    </a:lnTo>
                    <a:lnTo>
                      <a:pt x="179" y="1053"/>
                    </a:lnTo>
                    <a:lnTo>
                      <a:pt x="170" y="1053"/>
                    </a:lnTo>
                    <a:lnTo>
                      <a:pt x="170" y="1053"/>
                    </a:lnTo>
                    <a:lnTo>
                      <a:pt x="170" y="1053"/>
                    </a:lnTo>
                    <a:lnTo>
                      <a:pt x="161" y="1053"/>
                    </a:lnTo>
                    <a:lnTo>
                      <a:pt x="161" y="1053"/>
                    </a:lnTo>
                    <a:lnTo>
                      <a:pt x="161" y="1053"/>
                    </a:lnTo>
                    <a:lnTo>
                      <a:pt x="152" y="1044"/>
                    </a:lnTo>
                    <a:lnTo>
                      <a:pt x="152" y="1044"/>
                    </a:lnTo>
                    <a:lnTo>
                      <a:pt x="152" y="1044"/>
                    </a:lnTo>
                    <a:lnTo>
                      <a:pt x="143" y="1035"/>
                    </a:lnTo>
                    <a:lnTo>
                      <a:pt x="143" y="1035"/>
                    </a:lnTo>
                    <a:lnTo>
                      <a:pt x="143" y="1035"/>
                    </a:lnTo>
                    <a:lnTo>
                      <a:pt x="134" y="1035"/>
                    </a:lnTo>
                    <a:lnTo>
                      <a:pt x="134" y="1035"/>
                    </a:lnTo>
                    <a:lnTo>
                      <a:pt x="126" y="1026"/>
                    </a:lnTo>
                    <a:lnTo>
                      <a:pt x="126" y="1026"/>
                    </a:lnTo>
                    <a:lnTo>
                      <a:pt x="117" y="1026"/>
                    </a:lnTo>
                    <a:lnTo>
                      <a:pt x="108" y="1026"/>
                    </a:lnTo>
                    <a:lnTo>
                      <a:pt x="108" y="1026"/>
                    </a:lnTo>
                    <a:lnTo>
                      <a:pt x="99" y="1026"/>
                    </a:lnTo>
                    <a:lnTo>
                      <a:pt x="99" y="1026"/>
                    </a:lnTo>
                    <a:lnTo>
                      <a:pt x="90" y="1026"/>
                    </a:lnTo>
                    <a:lnTo>
                      <a:pt x="90" y="1026"/>
                    </a:lnTo>
                    <a:lnTo>
                      <a:pt x="81" y="1026"/>
                    </a:lnTo>
                    <a:lnTo>
                      <a:pt x="81" y="1026"/>
                    </a:lnTo>
                    <a:lnTo>
                      <a:pt x="72" y="1026"/>
                    </a:lnTo>
                    <a:lnTo>
                      <a:pt x="72" y="1026"/>
                    </a:lnTo>
                    <a:lnTo>
                      <a:pt x="72" y="1018"/>
                    </a:lnTo>
                    <a:lnTo>
                      <a:pt x="63" y="1018"/>
                    </a:lnTo>
                    <a:lnTo>
                      <a:pt x="63" y="1018"/>
                    </a:lnTo>
                    <a:lnTo>
                      <a:pt x="63" y="1009"/>
                    </a:lnTo>
                    <a:lnTo>
                      <a:pt x="63" y="1009"/>
                    </a:lnTo>
                    <a:lnTo>
                      <a:pt x="63" y="1000"/>
                    </a:lnTo>
                    <a:lnTo>
                      <a:pt x="54" y="1000"/>
                    </a:lnTo>
                    <a:lnTo>
                      <a:pt x="54" y="1000"/>
                    </a:lnTo>
                    <a:lnTo>
                      <a:pt x="54" y="991"/>
                    </a:lnTo>
                    <a:lnTo>
                      <a:pt x="54" y="991"/>
                    </a:lnTo>
                    <a:lnTo>
                      <a:pt x="54" y="982"/>
                    </a:lnTo>
                    <a:lnTo>
                      <a:pt x="54" y="973"/>
                    </a:lnTo>
                    <a:lnTo>
                      <a:pt x="54" y="973"/>
                    </a:lnTo>
                    <a:lnTo>
                      <a:pt x="54" y="964"/>
                    </a:lnTo>
                    <a:lnTo>
                      <a:pt x="54" y="964"/>
                    </a:lnTo>
                    <a:lnTo>
                      <a:pt x="45" y="955"/>
                    </a:lnTo>
                    <a:lnTo>
                      <a:pt x="45" y="955"/>
                    </a:lnTo>
                    <a:lnTo>
                      <a:pt x="45" y="955"/>
                    </a:lnTo>
                    <a:lnTo>
                      <a:pt x="45" y="946"/>
                    </a:lnTo>
                    <a:lnTo>
                      <a:pt x="54" y="946"/>
                    </a:lnTo>
                    <a:lnTo>
                      <a:pt x="54" y="946"/>
                    </a:lnTo>
                    <a:lnTo>
                      <a:pt x="63" y="937"/>
                    </a:lnTo>
                    <a:lnTo>
                      <a:pt x="72" y="937"/>
                    </a:lnTo>
                    <a:lnTo>
                      <a:pt x="72" y="937"/>
                    </a:lnTo>
                    <a:lnTo>
                      <a:pt x="72" y="937"/>
                    </a:lnTo>
                    <a:lnTo>
                      <a:pt x="90" y="901"/>
                    </a:lnTo>
                    <a:lnTo>
                      <a:pt x="90" y="848"/>
                    </a:lnTo>
                    <a:lnTo>
                      <a:pt x="81" y="821"/>
                    </a:lnTo>
                    <a:lnTo>
                      <a:pt x="72" y="803"/>
                    </a:lnTo>
                    <a:lnTo>
                      <a:pt x="54" y="803"/>
                    </a:lnTo>
                    <a:lnTo>
                      <a:pt x="36" y="794"/>
                    </a:lnTo>
                    <a:lnTo>
                      <a:pt x="9" y="785"/>
                    </a:lnTo>
                    <a:lnTo>
                      <a:pt x="0" y="750"/>
                    </a:lnTo>
                    <a:lnTo>
                      <a:pt x="9" y="714"/>
                    </a:lnTo>
                    <a:lnTo>
                      <a:pt x="18" y="696"/>
                    </a:lnTo>
                    <a:lnTo>
                      <a:pt x="45" y="678"/>
                    </a:lnTo>
                    <a:lnTo>
                      <a:pt x="63" y="660"/>
                    </a:lnTo>
                    <a:lnTo>
                      <a:pt x="63" y="651"/>
                    </a:lnTo>
                    <a:lnTo>
                      <a:pt x="63" y="634"/>
                    </a:lnTo>
                    <a:lnTo>
                      <a:pt x="54" y="616"/>
                    </a:lnTo>
                    <a:lnTo>
                      <a:pt x="63" y="607"/>
                    </a:lnTo>
                    <a:lnTo>
                      <a:pt x="72" y="598"/>
                    </a:lnTo>
                    <a:lnTo>
                      <a:pt x="90" y="562"/>
                    </a:lnTo>
                    <a:lnTo>
                      <a:pt x="99" y="544"/>
                    </a:lnTo>
                    <a:lnTo>
                      <a:pt x="117" y="535"/>
                    </a:lnTo>
                    <a:lnTo>
                      <a:pt x="108" y="509"/>
                    </a:lnTo>
                    <a:lnTo>
                      <a:pt x="126" y="509"/>
                    </a:lnTo>
                    <a:lnTo>
                      <a:pt x="126" y="482"/>
                    </a:lnTo>
                    <a:lnTo>
                      <a:pt x="134" y="455"/>
                    </a:lnTo>
                    <a:lnTo>
                      <a:pt x="152" y="428"/>
                    </a:lnTo>
                    <a:lnTo>
                      <a:pt x="152" y="384"/>
                    </a:lnTo>
                    <a:lnTo>
                      <a:pt x="152" y="357"/>
                    </a:lnTo>
                    <a:lnTo>
                      <a:pt x="161" y="321"/>
                    </a:lnTo>
                    <a:lnTo>
                      <a:pt x="161" y="303"/>
                    </a:lnTo>
                    <a:lnTo>
                      <a:pt x="179" y="285"/>
                    </a:lnTo>
                    <a:lnTo>
                      <a:pt x="206" y="276"/>
                    </a:lnTo>
                    <a:lnTo>
                      <a:pt x="233" y="259"/>
                    </a:lnTo>
                    <a:lnTo>
                      <a:pt x="242" y="250"/>
                    </a:lnTo>
                    <a:lnTo>
                      <a:pt x="251" y="232"/>
                    </a:lnTo>
                    <a:lnTo>
                      <a:pt x="268" y="241"/>
                    </a:lnTo>
                    <a:lnTo>
                      <a:pt x="295" y="250"/>
                    </a:lnTo>
                    <a:lnTo>
                      <a:pt x="313" y="250"/>
                    </a:lnTo>
                    <a:lnTo>
                      <a:pt x="322" y="241"/>
                    </a:lnTo>
                    <a:lnTo>
                      <a:pt x="322" y="223"/>
                    </a:lnTo>
                    <a:lnTo>
                      <a:pt x="340" y="223"/>
                    </a:lnTo>
                    <a:lnTo>
                      <a:pt x="331" y="196"/>
                    </a:lnTo>
                    <a:lnTo>
                      <a:pt x="322" y="178"/>
                    </a:lnTo>
                    <a:lnTo>
                      <a:pt x="322" y="160"/>
                    </a:lnTo>
                    <a:lnTo>
                      <a:pt x="331" y="151"/>
                    </a:lnTo>
                    <a:lnTo>
                      <a:pt x="340" y="142"/>
                    </a:lnTo>
                    <a:lnTo>
                      <a:pt x="358" y="151"/>
                    </a:lnTo>
                    <a:lnTo>
                      <a:pt x="376" y="151"/>
                    </a:lnTo>
                    <a:lnTo>
                      <a:pt x="394" y="151"/>
                    </a:lnTo>
                    <a:lnTo>
                      <a:pt x="394" y="142"/>
                    </a:lnTo>
                    <a:lnTo>
                      <a:pt x="394" y="133"/>
                    </a:lnTo>
                    <a:lnTo>
                      <a:pt x="411" y="116"/>
                    </a:lnTo>
                    <a:lnTo>
                      <a:pt x="429" y="116"/>
                    </a:lnTo>
                    <a:lnTo>
                      <a:pt x="438" y="116"/>
                    </a:lnTo>
                    <a:lnTo>
                      <a:pt x="447" y="98"/>
                    </a:lnTo>
                    <a:lnTo>
                      <a:pt x="465" y="89"/>
                    </a:lnTo>
                    <a:lnTo>
                      <a:pt x="465" y="80"/>
                    </a:lnTo>
                    <a:lnTo>
                      <a:pt x="474" y="53"/>
                    </a:lnTo>
                    <a:lnTo>
                      <a:pt x="474" y="35"/>
                    </a:lnTo>
                    <a:lnTo>
                      <a:pt x="483" y="17"/>
                    </a:lnTo>
                    <a:lnTo>
                      <a:pt x="501" y="0"/>
                    </a:lnTo>
                    <a:lnTo>
                      <a:pt x="519" y="0"/>
                    </a:lnTo>
                    <a:lnTo>
                      <a:pt x="536" y="0"/>
                    </a:lnTo>
                    <a:lnTo>
                      <a:pt x="536" y="17"/>
                    </a:lnTo>
                    <a:lnTo>
                      <a:pt x="545" y="35"/>
                    </a:lnTo>
                    <a:lnTo>
                      <a:pt x="536" y="53"/>
                    </a:lnTo>
                    <a:lnTo>
                      <a:pt x="545" y="71"/>
                    </a:lnTo>
                    <a:lnTo>
                      <a:pt x="545" y="98"/>
                    </a:lnTo>
                    <a:lnTo>
                      <a:pt x="545" y="107"/>
                    </a:lnTo>
                    <a:lnTo>
                      <a:pt x="554" y="116"/>
                    </a:lnTo>
                    <a:lnTo>
                      <a:pt x="563" y="125"/>
                    </a:lnTo>
                    <a:lnTo>
                      <a:pt x="581" y="116"/>
                    </a:lnTo>
                    <a:lnTo>
                      <a:pt x="581" y="125"/>
                    </a:lnTo>
                    <a:lnTo>
                      <a:pt x="590" y="133"/>
                    </a:lnTo>
                    <a:lnTo>
                      <a:pt x="599" y="142"/>
                    </a:lnTo>
                    <a:lnTo>
                      <a:pt x="626" y="142"/>
                    </a:lnTo>
                    <a:lnTo>
                      <a:pt x="644" y="142"/>
                    </a:lnTo>
                    <a:lnTo>
                      <a:pt x="653" y="151"/>
                    </a:lnTo>
                    <a:lnTo>
                      <a:pt x="661" y="169"/>
                    </a:lnTo>
                    <a:lnTo>
                      <a:pt x="679" y="187"/>
                    </a:lnTo>
                  </a:path>
                </a:pathLst>
              </a:custGeom>
              <a:solidFill>
                <a:schemeClr val="tx2">
                  <a:lumMod val="75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55" name="Freeform 62">
                <a:extLst>
                  <a:ext uri="{FF2B5EF4-FFF2-40B4-BE49-F238E27FC236}">
                    <a16:creationId xmlns:a16="http://schemas.microsoft.com/office/drawing/2014/main" id="{C48A947B-9226-41A7-AB00-F0E9121DB54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919" y="7219"/>
                <a:ext cx="2082" cy="1737"/>
              </a:xfrm>
              <a:custGeom>
                <a:avLst/>
                <a:gdLst>
                  <a:gd name="T0" fmla="*/ 893 w 938"/>
                  <a:gd name="T1" fmla="*/ 527 h 732"/>
                  <a:gd name="T2" fmla="*/ 938 w 938"/>
                  <a:gd name="T3" fmla="*/ 464 h 732"/>
                  <a:gd name="T4" fmla="*/ 902 w 938"/>
                  <a:gd name="T5" fmla="*/ 464 h 732"/>
                  <a:gd name="T6" fmla="*/ 804 w 938"/>
                  <a:gd name="T7" fmla="*/ 447 h 732"/>
                  <a:gd name="T8" fmla="*/ 777 w 938"/>
                  <a:gd name="T9" fmla="*/ 411 h 732"/>
                  <a:gd name="T10" fmla="*/ 831 w 938"/>
                  <a:gd name="T11" fmla="*/ 330 h 732"/>
                  <a:gd name="T12" fmla="*/ 777 w 938"/>
                  <a:gd name="T13" fmla="*/ 304 h 732"/>
                  <a:gd name="T14" fmla="*/ 741 w 938"/>
                  <a:gd name="T15" fmla="*/ 277 h 732"/>
                  <a:gd name="T16" fmla="*/ 670 w 938"/>
                  <a:gd name="T17" fmla="*/ 259 h 732"/>
                  <a:gd name="T18" fmla="*/ 643 w 938"/>
                  <a:gd name="T19" fmla="*/ 223 h 732"/>
                  <a:gd name="T20" fmla="*/ 616 w 938"/>
                  <a:gd name="T21" fmla="*/ 205 h 732"/>
                  <a:gd name="T22" fmla="*/ 652 w 938"/>
                  <a:gd name="T23" fmla="*/ 125 h 732"/>
                  <a:gd name="T24" fmla="*/ 661 w 938"/>
                  <a:gd name="T25" fmla="*/ 89 h 732"/>
                  <a:gd name="T26" fmla="*/ 616 w 938"/>
                  <a:gd name="T27" fmla="*/ 98 h 732"/>
                  <a:gd name="T28" fmla="*/ 598 w 938"/>
                  <a:gd name="T29" fmla="*/ 134 h 732"/>
                  <a:gd name="T30" fmla="*/ 572 w 938"/>
                  <a:gd name="T31" fmla="*/ 72 h 732"/>
                  <a:gd name="T32" fmla="*/ 554 w 938"/>
                  <a:gd name="T33" fmla="*/ 27 h 732"/>
                  <a:gd name="T34" fmla="*/ 518 w 938"/>
                  <a:gd name="T35" fmla="*/ 9 h 732"/>
                  <a:gd name="T36" fmla="*/ 464 w 938"/>
                  <a:gd name="T37" fmla="*/ 0 h 732"/>
                  <a:gd name="T38" fmla="*/ 402 w 938"/>
                  <a:gd name="T39" fmla="*/ 9 h 732"/>
                  <a:gd name="T40" fmla="*/ 420 w 938"/>
                  <a:gd name="T41" fmla="*/ 45 h 732"/>
                  <a:gd name="T42" fmla="*/ 455 w 938"/>
                  <a:gd name="T43" fmla="*/ 72 h 732"/>
                  <a:gd name="T44" fmla="*/ 438 w 938"/>
                  <a:gd name="T45" fmla="*/ 98 h 732"/>
                  <a:gd name="T46" fmla="*/ 402 w 938"/>
                  <a:gd name="T47" fmla="*/ 143 h 732"/>
                  <a:gd name="T48" fmla="*/ 357 w 938"/>
                  <a:gd name="T49" fmla="*/ 152 h 732"/>
                  <a:gd name="T50" fmla="*/ 295 w 938"/>
                  <a:gd name="T51" fmla="*/ 170 h 732"/>
                  <a:gd name="T52" fmla="*/ 223 w 938"/>
                  <a:gd name="T53" fmla="*/ 179 h 732"/>
                  <a:gd name="T54" fmla="*/ 232 w 938"/>
                  <a:gd name="T55" fmla="*/ 232 h 732"/>
                  <a:gd name="T56" fmla="*/ 241 w 938"/>
                  <a:gd name="T57" fmla="*/ 286 h 732"/>
                  <a:gd name="T58" fmla="*/ 214 w 938"/>
                  <a:gd name="T59" fmla="*/ 366 h 732"/>
                  <a:gd name="T60" fmla="*/ 178 w 938"/>
                  <a:gd name="T61" fmla="*/ 393 h 732"/>
                  <a:gd name="T62" fmla="*/ 196 w 938"/>
                  <a:gd name="T63" fmla="*/ 429 h 732"/>
                  <a:gd name="T64" fmla="*/ 178 w 938"/>
                  <a:gd name="T65" fmla="*/ 464 h 732"/>
                  <a:gd name="T66" fmla="*/ 178 w 938"/>
                  <a:gd name="T67" fmla="*/ 509 h 732"/>
                  <a:gd name="T68" fmla="*/ 116 w 938"/>
                  <a:gd name="T69" fmla="*/ 509 h 732"/>
                  <a:gd name="T70" fmla="*/ 80 w 938"/>
                  <a:gd name="T71" fmla="*/ 518 h 732"/>
                  <a:gd name="T72" fmla="*/ 53 w 938"/>
                  <a:gd name="T73" fmla="*/ 536 h 732"/>
                  <a:gd name="T74" fmla="*/ 18 w 938"/>
                  <a:gd name="T75" fmla="*/ 580 h 732"/>
                  <a:gd name="T76" fmla="*/ 0 w 938"/>
                  <a:gd name="T77" fmla="*/ 625 h 732"/>
                  <a:gd name="T78" fmla="*/ 36 w 938"/>
                  <a:gd name="T79" fmla="*/ 670 h 732"/>
                  <a:gd name="T80" fmla="*/ 36 w 938"/>
                  <a:gd name="T81" fmla="*/ 688 h 732"/>
                  <a:gd name="T82" fmla="*/ 62 w 938"/>
                  <a:gd name="T83" fmla="*/ 714 h 732"/>
                  <a:gd name="T84" fmla="*/ 134 w 938"/>
                  <a:gd name="T85" fmla="*/ 732 h 732"/>
                  <a:gd name="T86" fmla="*/ 214 w 938"/>
                  <a:gd name="T87" fmla="*/ 732 h 732"/>
                  <a:gd name="T88" fmla="*/ 295 w 938"/>
                  <a:gd name="T89" fmla="*/ 697 h 732"/>
                  <a:gd name="T90" fmla="*/ 330 w 938"/>
                  <a:gd name="T91" fmla="*/ 670 h 732"/>
                  <a:gd name="T92" fmla="*/ 348 w 938"/>
                  <a:gd name="T93" fmla="*/ 607 h 732"/>
                  <a:gd name="T94" fmla="*/ 366 w 938"/>
                  <a:gd name="T95" fmla="*/ 580 h 732"/>
                  <a:gd name="T96" fmla="*/ 411 w 938"/>
                  <a:gd name="T97" fmla="*/ 580 h 732"/>
                  <a:gd name="T98" fmla="*/ 420 w 938"/>
                  <a:gd name="T99" fmla="*/ 607 h 732"/>
                  <a:gd name="T100" fmla="*/ 455 w 938"/>
                  <a:gd name="T101" fmla="*/ 607 h 732"/>
                  <a:gd name="T102" fmla="*/ 527 w 938"/>
                  <a:gd name="T103" fmla="*/ 607 h 732"/>
                  <a:gd name="T104" fmla="*/ 563 w 938"/>
                  <a:gd name="T105" fmla="*/ 616 h 732"/>
                  <a:gd name="T106" fmla="*/ 589 w 938"/>
                  <a:gd name="T107" fmla="*/ 625 h 732"/>
                  <a:gd name="T108" fmla="*/ 616 w 938"/>
                  <a:gd name="T109" fmla="*/ 616 h 732"/>
                  <a:gd name="T110" fmla="*/ 616 w 938"/>
                  <a:gd name="T111" fmla="*/ 598 h 732"/>
                  <a:gd name="T112" fmla="*/ 625 w 938"/>
                  <a:gd name="T113" fmla="*/ 572 h 732"/>
                  <a:gd name="T114" fmla="*/ 652 w 938"/>
                  <a:gd name="T115" fmla="*/ 572 h 732"/>
                  <a:gd name="T116" fmla="*/ 679 w 938"/>
                  <a:gd name="T117" fmla="*/ 580 h 732"/>
                  <a:gd name="T118" fmla="*/ 697 w 938"/>
                  <a:gd name="T119" fmla="*/ 545 h 732"/>
                  <a:gd name="T120" fmla="*/ 741 w 938"/>
                  <a:gd name="T121" fmla="*/ 536 h 732"/>
                  <a:gd name="T122" fmla="*/ 795 w 938"/>
                  <a:gd name="T123" fmla="*/ 545 h 732"/>
                  <a:gd name="T124" fmla="*/ 831 w 938"/>
                  <a:gd name="T125" fmla="*/ 563 h 73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  <a:cxn ang="0">
                    <a:pos x="T124" y="T125"/>
                  </a:cxn>
                </a:cxnLst>
                <a:rect l="0" t="0" r="r" b="b"/>
                <a:pathLst>
                  <a:path w="938" h="732">
                    <a:moveTo>
                      <a:pt x="848" y="580"/>
                    </a:moveTo>
                    <a:lnTo>
                      <a:pt x="848" y="580"/>
                    </a:lnTo>
                    <a:lnTo>
                      <a:pt x="848" y="580"/>
                    </a:lnTo>
                    <a:lnTo>
                      <a:pt x="857" y="580"/>
                    </a:lnTo>
                    <a:lnTo>
                      <a:pt x="857" y="580"/>
                    </a:lnTo>
                    <a:lnTo>
                      <a:pt x="857" y="580"/>
                    </a:lnTo>
                    <a:lnTo>
                      <a:pt x="857" y="580"/>
                    </a:lnTo>
                    <a:lnTo>
                      <a:pt x="857" y="580"/>
                    </a:lnTo>
                    <a:lnTo>
                      <a:pt x="866" y="580"/>
                    </a:lnTo>
                    <a:lnTo>
                      <a:pt x="866" y="572"/>
                    </a:lnTo>
                    <a:lnTo>
                      <a:pt x="866" y="572"/>
                    </a:lnTo>
                    <a:lnTo>
                      <a:pt x="866" y="572"/>
                    </a:lnTo>
                    <a:lnTo>
                      <a:pt x="866" y="563"/>
                    </a:lnTo>
                    <a:lnTo>
                      <a:pt x="866" y="563"/>
                    </a:lnTo>
                    <a:lnTo>
                      <a:pt x="866" y="563"/>
                    </a:lnTo>
                    <a:lnTo>
                      <a:pt x="866" y="554"/>
                    </a:lnTo>
                    <a:lnTo>
                      <a:pt x="866" y="554"/>
                    </a:lnTo>
                    <a:lnTo>
                      <a:pt x="866" y="554"/>
                    </a:lnTo>
                    <a:lnTo>
                      <a:pt x="875" y="545"/>
                    </a:lnTo>
                    <a:lnTo>
                      <a:pt x="875" y="545"/>
                    </a:lnTo>
                    <a:lnTo>
                      <a:pt x="875" y="545"/>
                    </a:lnTo>
                    <a:lnTo>
                      <a:pt x="884" y="536"/>
                    </a:lnTo>
                    <a:lnTo>
                      <a:pt x="884" y="536"/>
                    </a:lnTo>
                    <a:lnTo>
                      <a:pt x="884" y="536"/>
                    </a:lnTo>
                    <a:lnTo>
                      <a:pt x="893" y="536"/>
                    </a:lnTo>
                    <a:lnTo>
                      <a:pt x="893" y="527"/>
                    </a:lnTo>
                    <a:lnTo>
                      <a:pt x="893" y="527"/>
                    </a:lnTo>
                    <a:lnTo>
                      <a:pt x="893" y="527"/>
                    </a:lnTo>
                    <a:lnTo>
                      <a:pt x="893" y="527"/>
                    </a:lnTo>
                    <a:lnTo>
                      <a:pt x="884" y="518"/>
                    </a:lnTo>
                    <a:lnTo>
                      <a:pt x="884" y="518"/>
                    </a:lnTo>
                    <a:lnTo>
                      <a:pt x="884" y="518"/>
                    </a:lnTo>
                    <a:lnTo>
                      <a:pt x="893" y="518"/>
                    </a:lnTo>
                    <a:lnTo>
                      <a:pt x="893" y="518"/>
                    </a:lnTo>
                    <a:lnTo>
                      <a:pt x="893" y="509"/>
                    </a:lnTo>
                    <a:lnTo>
                      <a:pt x="893" y="509"/>
                    </a:lnTo>
                    <a:lnTo>
                      <a:pt x="893" y="509"/>
                    </a:lnTo>
                    <a:lnTo>
                      <a:pt x="893" y="509"/>
                    </a:lnTo>
                    <a:lnTo>
                      <a:pt x="902" y="509"/>
                    </a:lnTo>
                    <a:lnTo>
                      <a:pt x="902" y="509"/>
                    </a:lnTo>
                    <a:lnTo>
                      <a:pt x="902" y="500"/>
                    </a:lnTo>
                    <a:lnTo>
                      <a:pt x="911" y="500"/>
                    </a:lnTo>
                    <a:lnTo>
                      <a:pt x="911" y="500"/>
                    </a:lnTo>
                    <a:lnTo>
                      <a:pt x="911" y="491"/>
                    </a:lnTo>
                    <a:lnTo>
                      <a:pt x="920" y="491"/>
                    </a:lnTo>
                    <a:lnTo>
                      <a:pt x="920" y="491"/>
                    </a:lnTo>
                    <a:lnTo>
                      <a:pt x="920" y="482"/>
                    </a:lnTo>
                    <a:lnTo>
                      <a:pt x="929" y="482"/>
                    </a:lnTo>
                    <a:lnTo>
                      <a:pt x="929" y="473"/>
                    </a:lnTo>
                    <a:lnTo>
                      <a:pt x="929" y="473"/>
                    </a:lnTo>
                    <a:lnTo>
                      <a:pt x="929" y="473"/>
                    </a:lnTo>
                    <a:lnTo>
                      <a:pt x="938" y="473"/>
                    </a:lnTo>
                    <a:lnTo>
                      <a:pt x="938" y="473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29" y="464"/>
                    </a:lnTo>
                    <a:lnTo>
                      <a:pt x="929" y="464"/>
                    </a:lnTo>
                    <a:lnTo>
                      <a:pt x="929" y="464"/>
                    </a:lnTo>
                    <a:lnTo>
                      <a:pt x="929" y="464"/>
                    </a:lnTo>
                    <a:lnTo>
                      <a:pt x="920" y="464"/>
                    </a:lnTo>
                    <a:lnTo>
                      <a:pt x="920" y="464"/>
                    </a:lnTo>
                    <a:lnTo>
                      <a:pt x="920" y="464"/>
                    </a:lnTo>
                    <a:lnTo>
                      <a:pt x="920" y="464"/>
                    </a:lnTo>
                    <a:lnTo>
                      <a:pt x="920" y="464"/>
                    </a:lnTo>
                    <a:lnTo>
                      <a:pt x="920" y="464"/>
                    </a:lnTo>
                    <a:lnTo>
                      <a:pt x="911" y="464"/>
                    </a:lnTo>
                    <a:lnTo>
                      <a:pt x="911" y="464"/>
                    </a:lnTo>
                    <a:lnTo>
                      <a:pt x="911" y="464"/>
                    </a:lnTo>
                    <a:lnTo>
                      <a:pt x="902" y="464"/>
                    </a:lnTo>
                    <a:lnTo>
                      <a:pt x="902" y="464"/>
                    </a:lnTo>
                    <a:lnTo>
                      <a:pt x="902" y="464"/>
                    </a:lnTo>
                    <a:lnTo>
                      <a:pt x="893" y="464"/>
                    </a:lnTo>
                    <a:lnTo>
                      <a:pt x="893" y="464"/>
                    </a:lnTo>
                    <a:lnTo>
                      <a:pt x="884" y="464"/>
                    </a:lnTo>
                    <a:lnTo>
                      <a:pt x="884" y="455"/>
                    </a:lnTo>
                    <a:lnTo>
                      <a:pt x="875" y="455"/>
                    </a:lnTo>
                    <a:lnTo>
                      <a:pt x="875" y="455"/>
                    </a:lnTo>
                    <a:lnTo>
                      <a:pt x="866" y="455"/>
                    </a:lnTo>
                    <a:lnTo>
                      <a:pt x="866" y="455"/>
                    </a:lnTo>
                    <a:lnTo>
                      <a:pt x="866" y="455"/>
                    </a:lnTo>
                    <a:lnTo>
                      <a:pt x="857" y="455"/>
                    </a:lnTo>
                    <a:lnTo>
                      <a:pt x="857" y="455"/>
                    </a:lnTo>
                    <a:lnTo>
                      <a:pt x="857" y="455"/>
                    </a:lnTo>
                    <a:lnTo>
                      <a:pt x="857" y="455"/>
                    </a:lnTo>
                    <a:lnTo>
                      <a:pt x="857" y="447"/>
                    </a:lnTo>
                    <a:lnTo>
                      <a:pt x="848" y="447"/>
                    </a:lnTo>
                    <a:lnTo>
                      <a:pt x="848" y="447"/>
                    </a:lnTo>
                    <a:lnTo>
                      <a:pt x="848" y="447"/>
                    </a:lnTo>
                    <a:lnTo>
                      <a:pt x="839" y="447"/>
                    </a:lnTo>
                    <a:lnTo>
                      <a:pt x="839" y="447"/>
                    </a:lnTo>
                    <a:lnTo>
                      <a:pt x="831" y="447"/>
                    </a:lnTo>
                    <a:lnTo>
                      <a:pt x="831" y="447"/>
                    </a:lnTo>
                    <a:lnTo>
                      <a:pt x="822" y="447"/>
                    </a:lnTo>
                    <a:lnTo>
                      <a:pt x="822" y="447"/>
                    </a:lnTo>
                    <a:lnTo>
                      <a:pt x="822" y="447"/>
                    </a:lnTo>
                    <a:lnTo>
                      <a:pt x="813" y="447"/>
                    </a:lnTo>
                    <a:lnTo>
                      <a:pt x="813" y="447"/>
                    </a:lnTo>
                    <a:lnTo>
                      <a:pt x="804" y="447"/>
                    </a:lnTo>
                    <a:lnTo>
                      <a:pt x="804" y="447"/>
                    </a:lnTo>
                    <a:lnTo>
                      <a:pt x="795" y="447"/>
                    </a:lnTo>
                    <a:lnTo>
                      <a:pt x="795" y="447"/>
                    </a:lnTo>
                    <a:lnTo>
                      <a:pt x="786" y="447"/>
                    </a:lnTo>
                    <a:lnTo>
                      <a:pt x="786" y="447"/>
                    </a:lnTo>
                    <a:lnTo>
                      <a:pt x="777" y="447"/>
                    </a:lnTo>
                    <a:lnTo>
                      <a:pt x="777" y="447"/>
                    </a:lnTo>
                    <a:lnTo>
                      <a:pt x="777" y="438"/>
                    </a:lnTo>
                    <a:lnTo>
                      <a:pt x="777" y="438"/>
                    </a:lnTo>
                    <a:lnTo>
                      <a:pt x="777" y="438"/>
                    </a:lnTo>
                    <a:lnTo>
                      <a:pt x="768" y="438"/>
                    </a:lnTo>
                    <a:lnTo>
                      <a:pt x="768" y="438"/>
                    </a:lnTo>
                    <a:lnTo>
                      <a:pt x="768" y="438"/>
                    </a:lnTo>
                    <a:lnTo>
                      <a:pt x="768" y="429"/>
                    </a:lnTo>
                    <a:lnTo>
                      <a:pt x="768" y="429"/>
                    </a:lnTo>
                    <a:lnTo>
                      <a:pt x="768" y="429"/>
                    </a:lnTo>
                    <a:lnTo>
                      <a:pt x="768" y="429"/>
                    </a:lnTo>
                    <a:lnTo>
                      <a:pt x="768" y="429"/>
                    </a:lnTo>
                    <a:lnTo>
                      <a:pt x="768" y="420"/>
                    </a:lnTo>
                    <a:lnTo>
                      <a:pt x="768" y="420"/>
                    </a:lnTo>
                    <a:lnTo>
                      <a:pt x="768" y="420"/>
                    </a:lnTo>
                    <a:lnTo>
                      <a:pt x="768" y="420"/>
                    </a:lnTo>
                    <a:lnTo>
                      <a:pt x="768" y="411"/>
                    </a:lnTo>
                    <a:lnTo>
                      <a:pt x="777" y="411"/>
                    </a:lnTo>
                    <a:lnTo>
                      <a:pt x="777" y="411"/>
                    </a:lnTo>
                    <a:lnTo>
                      <a:pt x="777" y="411"/>
                    </a:lnTo>
                    <a:lnTo>
                      <a:pt x="777" y="411"/>
                    </a:lnTo>
                    <a:lnTo>
                      <a:pt x="777" y="402"/>
                    </a:lnTo>
                    <a:lnTo>
                      <a:pt x="777" y="402"/>
                    </a:lnTo>
                    <a:lnTo>
                      <a:pt x="786" y="402"/>
                    </a:lnTo>
                    <a:lnTo>
                      <a:pt x="786" y="393"/>
                    </a:lnTo>
                    <a:lnTo>
                      <a:pt x="786" y="393"/>
                    </a:lnTo>
                    <a:lnTo>
                      <a:pt x="795" y="393"/>
                    </a:lnTo>
                    <a:lnTo>
                      <a:pt x="795" y="384"/>
                    </a:lnTo>
                    <a:lnTo>
                      <a:pt x="795" y="384"/>
                    </a:lnTo>
                    <a:lnTo>
                      <a:pt x="795" y="375"/>
                    </a:lnTo>
                    <a:lnTo>
                      <a:pt x="804" y="375"/>
                    </a:lnTo>
                    <a:lnTo>
                      <a:pt x="804" y="375"/>
                    </a:lnTo>
                    <a:lnTo>
                      <a:pt x="804" y="366"/>
                    </a:lnTo>
                    <a:lnTo>
                      <a:pt x="804" y="366"/>
                    </a:lnTo>
                    <a:lnTo>
                      <a:pt x="804" y="366"/>
                    </a:lnTo>
                    <a:lnTo>
                      <a:pt x="804" y="357"/>
                    </a:lnTo>
                    <a:lnTo>
                      <a:pt x="804" y="357"/>
                    </a:lnTo>
                    <a:lnTo>
                      <a:pt x="813" y="357"/>
                    </a:lnTo>
                    <a:lnTo>
                      <a:pt x="813" y="357"/>
                    </a:lnTo>
                    <a:lnTo>
                      <a:pt x="813" y="348"/>
                    </a:lnTo>
                    <a:lnTo>
                      <a:pt x="813" y="348"/>
                    </a:lnTo>
                    <a:lnTo>
                      <a:pt x="813" y="348"/>
                    </a:lnTo>
                    <a:lnTo>
                      <a:pt x="822" y="348"/>
                    </a:lnTo>
                    <a:lnTo>
                      <a:pt x="822" y="339"/>
                    </a:lnTo>
                    <a:lnTo>
                      <a:pt x="822" y="339"/>
                    </a:lnTo>
                    <a:lnTo>
                      <a:pt x="822" y="339"/>
                    </a:lnTo>
                    <a:lnTo>
                      <a:pt x="831" y="330"/>
                    </a:lnTo>
                    <a:lnTo>
                      <a:pt x="831" y="330"/>
                    </a:lnTo>
                    <a:lnTo>
                      <a:pt x="831" y="330"/>
                    </a:lnTo>
                    <a:lnTo>
                      <a:pt x="831" y="330"/>
                    </a:lnTo>
                    <a:lnTo>
                      <a:pt x="831" y="330"/>
                    </a:lnTo>
                    <a:lnTo>
                      <a:pt x="822" y="330"/>
                    </a:lnTo>
                    <a:lnTo>
                      <a:pt x="822" y="330"/>
                    </a:lnTo>
                    <a:lnTo>
                      <a:pt x="822" y="322"/>
                    </a:lnTo>
                    <a:lnTo>
                      <a:pt x="822" y="322"/>
                    </a:lnTo>
                    <a:lnTo>
                      <a:pt x="822" y="322"/>
                    </a:lnTo>
                    <a:lnTo>
                      <a:pt x="822" y="322"/>
                    </a:lnTo>
                    <a:lnTo>
                      <a:pt x="822" y="322"/>
                    </a:lnTo>
                    <a:lnTo>
                      <a:pt x="822" y="322"/>
                    </a:lnTo>
                    <a:lnTo>
                      <a:pt x="813" y="322"/>
                    </a:lnTo>
                    <a:lnTo>
                      <a:pt x="813" y="322"/>
                    </a:lnTo>
                    <a:lnTo>
                      <a:pt x="813" y="322"/>
                    </a:lnTo>
                    <a:lnTo>
                      <a:pt x="813" y="322"/>
                    </a:lnTo>
                    <a:lnTo>
                      <a:pt x="804" y="313"/>
                    </a:lnTo>
                    <a:lnTo>
                      <a:pt x="804" y="313"/>
                    </a:lnTo>
                    <a:lnTo>
                      <a:pt x="804" y="313"/>
                    </a:lnTo>
                    <a:lnTo>
                      <a:pt x="795" y="313"/>
                    </a:lnTo>
                    <a:lnTo>
                      <a:pt x="795" y="313"/>
                    </a:lnTo>
                    <a:lnTo>
                      <a:pt x="795" y="313"/>
                    </a:lnTo>
                    <a:lnTo>
                      <a:pt x="786" y="313"/>
                    </a:lnTo>
                    <a:lnTo>
                      <a:pt x="786" y="313"/>
                    </a:lnTo>
                    <a:lnTo>
                      <a:pt x="777" y="313"/>
                    </a:lnTo>
                    <a:lnTo>
                      <a:pt x="777" y="304"/>
                    </a:lnTo>
                    <a:lnTo>
                      <a:pt x="777" y="304"/>
                    </a:lnTo>
                    <a:lnTo>
                      <a:pt x="777" y="304"/>
                    </a:lnTo>
                    <a:lnTo>
                      <a:pt x="768" y="304"/>
                    </a:lnTo>
                    <a:lnTo>
                      <a:pt x="768" y="304"/>
                    </a:lnTo>
                    <a:lnTo>
                      <a:pt x="768" y="304"/>
                    </a:lnTo>
                    <a:lnTo>
                      <a:pt x="768" y="304"/>
                    </a:lnTo>
                    <a:lnTo>
                      <a:pt x="768" y="304"/>
                    </a:lnTo>
                    <a:lnTo>
                      <a:pt x="768" y="295"/>
                    </a:lnTo>
                    <a:lnTo>
                      <a:pt x="759" y="295"/>
                    </a:lnTo>
                    <a:lnTo>
                      <a:pt x="759" y="295"/>
                    </a:lnTo>
                    <a:lnTo>
                      <a:pt x="759" y="295"/>
                    </a:lnTo>
                    <a:lnTo>
                      <a:pt x="759" y="286"/>
                    </a:lnTo>
                    <a:lnTo>
                      <a:pt x="759" y="286"/>
                    </a:lnTo>
                    <a:lnTo>
                      <a:pt x="759" y="286"/>
                    </a:lnTo>
                    <a:lnTo>
                      <a:pt x="759" y="286"/>
                    </a:lnTo>
                    <a:lnTo>
                      <a:pt x="759" y="286"/>
                    </a:lnTo>
                    <a:lnTo>
                      <a:pt x="750" y="286"/>
                    </a:lnTo>
                    <a:lnTo>
                      <a:pt x="750" y="286"/>
                    </a:lnTo>
                    <a:lnTo>
                      <a:pt x="750" y="286"/>
                    </a:lnTo>
                    <a:lnTo>
                      <a:pt x="750" y="286"/>
                    </a:lnTo>
                    <a:lnTo>
                      <a:pt x="741" y="286"/>
                    </a:lnTo>
                    <a:lnTo>
                      <a:pt x="741" y="286"/>
                    </a:lnTo>
                    <a:lnTo>
                      <a:pt x="741" y="286"/>
                    </a:lnTo>
                    <a:lnTo>
                      <a:pt x="741" y="286"/>
                    </a:lnTo>
                    <a:lnTo>
                      <a:pt x="741" y="286"/>
                    </a:lnTo>
                    <a:lnTo>
                      <a:pt x="741" y="286"/>
                    </a:lnTo>
                    <a:lnTo>
                      <a:pt x="741" y="277"/>
                    </a:lnTo>
                    <a:lnTo>
                      <a:pt x="741" y="277"/>
                    </a:lnTo>
                    <a:lnTo>
                      <a:pt x="741" y="277"/>
                    </a:lnTo>
                    <a:lnTo>
                      <a:pt x="741" y="277"/>
                    </a:lnTo>
                    <a:lnTo>
                      <a:pt x="732" y="277"/>
                    </a:lnTo>
                    <a:lnTo>
                      <a:pt x="732" y="277"/>
                    </a:lnTo>
                    <a:lnTo>
                      <a:pt x="723" y="277"/>
                    </a:lnTo>
                    <a:lnTo>
                      <a:pt x="714" y="277"/>
                    </a:lnTo>
                    <a:lnTo>
                      <a:pt x="714" y="277"/>
                    </a:lnTo>
                    <a:lnTo>
                      <a:pt x="705" y="277"/>
                    </a:lnTo>
                    <a:lnTo>
                      <a:pt x="705" y="277"/>
                    </a:lnTo>
                    <a:lnTo>
                      <a:pt x="697" y="277"/>
                    </a:lnTo>
                    <a:lnTo>
                      <a:pt x="697" y="277"/>
                    </a:lnTo>
                    <a:lnTo>
                      <a:pt x="697" y="277"/>
                    </a:lnTo>
                    <a:lnTo>
                      <a:pt x="688" y="277"/>
                    </a:lnTo>
                    <a:lnTo>
                      <a:pt x="688" y="277"/>
                    </a:lnTo>
                    <a:lnTo>
                      <a:pt x="688" y="277"/>
                    </a:lnTo>
                    <a:lnTo>
                      <a:pt x="679" y="277"/>
                    </a:lnTo>
                    <a:lnTo>
                      <a:pt x="679" y="277"/>
                    </a:lnTo>
                    <a:lnTo>
                      <a:pt x="679" y="277"/>
                    </a:lnTo>
                    <a:lnTo>
                      <a:pt x="679" y="277"/>
                    </a:lnTo>
                    <a:lnTo>
                      <a:pt x="670" y="277"/>
                    </a:lnTo>
                    <a:lnTo>
                      <a:pt x="670" y="277"/>
                    </a:lnTo>
                    <a:lnTo>
                      <a:pt x="670" y="268"/>
                    </a:lnTo>
                    <a:lnTo>
                      <a:pt x="670" y="268"/>
                    </a:lnTo>
                    <a:lnTo>
                      <a:pt x="670" y="268"/>
                    </a:lnTo>
                    <a:lnTo>
                      <a:pt x="670" y="268"/>
                    </a:lnTo>
                    <a:lnTo>
                      <a:pt x="670" y="268"/>
                    </a:lnTo>
                    <a:lnTo>
                      <a:pt x="670" y="259"/>
                    </a:lnTo>
                    <a:lnTo>
                      <a:pt x="670" y="259"/>
                    </a:lnTo>
                    <a:lnTo>
                      <a:pt x="670" y="259"/>
                    </a:lnTo>
                    <a:lnTo>
                      <a:pt x="670" y="259"/>
                    </a:lnTo>
                    <a:lnTo>
                      <a:pt x="670" y="259"/>
                    </a:lnTo>
                    <a:lnTo>
                      <a:pt x="670" y="259"/>
                    </a:lnTo>
                    <a:lnTo>
                      <a:pt x="670" y="250"/>
                    </a:lnTo>
                    <a:lnTo>
                      <a:pt x="670" y="250"/>
                    </a:lnTo>
                    <a:lnTo>
                      <a:pt x="670" y="250"/>
                    </a:lnTo>
                    <a:lnTo>
                      <a:pt x="670" y="250"/>
                    </a:lnTo>
                    <a:lnTo>
                      <a:pt x="661" y="250"/>
                    </a:lnTo>
                    <a:lnTo>
                      <a:pt x="661" y="250"/>
                    </a:lnTo>
                    <a:lnTo>
                      <a:pt x="661" y="250"/>
                    </a:lnTo>
                    <a:lnTo>
                      <a:pt x="661" y="241"/>
                    </a:lnTo>
                    <a:lnTo>
                      <a:pt x="661" y="241"/>
                    </a:lnTo>
                    <a:lnTo>
                      <a:pt x="652" y="241"/>
                    </a:lnTo>
                    <a:lnTo>
                      <a:pt x="652" y="241"/>
                    </a:lnTo>
                    <a:lnTo>
                      <a:pt x="652" y="241"/>
                    </a:lnTo>
                    <a:lnTo>
                      <a:pt x="652" y="241"/>
                    </a:lnTo>
                    <a:lnTo>
                      <a:pt x="652" y="241"/>
                    </a:lnTo>
                    <a:lnTo>
                      <a:pt x="652" y="232"/>
                    </a:lnTo>
                    <a:lnTo>
                      <a:pt x="652" y="232"/>
                    </a:lnTo>
                    <a:lnTo>
                      <a:pt x="643" y="232"/>
                    </a:lnTo>
                    <a:lnTo>
                      <a:pt x="643" y="232"/>
                    </a:lnTo>
                    <a:lnTo>
                      <a:pt x="643" y="232"/>
                    </a:lnTo>
                    <a:lnTo>
                      <a:pt x="643" y="232"/>
                    </a:lnTo>
                    <a:lnTo>
                      <a:pt x="643" y="223"/>
                    </a:lnTo>
                    <a:lnTo>
                      <a:pt x="643" y="223"/>
                    </a:lnTo>
                    <a:lnTo>
                      <a:pt x="643" y="223"/>
                    </a:lnTo>
                    <a:lnTo>
                      <a:pt x="643" y="223"/>
                    </a:lnTo>
                    <a:lnTo>
                      <a:pt x="643" y="223"/>
                    </a:lnTo>
                    <a:lnTo>
                      <a:pt x="643" y="223"/>
                    </a:lnTo>
                    <a:lnTo>
                      <a:pt x="643" y="214"/>
                    </a:lnTo>
                    <a:lnTo>
                      <a:pt x="643" y="214"/>
                    </a:lnTo>
                    <a:lnTo>
                      <a:pt x="643" y="214"/>
                    </a:lnTo>
                    <a:lnTo>
                      <a:pt x="643" y="214"/>
                    </a:lnTo>
                    <a:lnTo>
                      <a:pt x="643" y="214"/>
                    </a:lnTo>
                    <a:lnTo>
                      <a:pt x="643" y="214"/>
                    </a:lnTo>
                    <a:lnTo>
                      <a:pt x="643" y="205"/>
                    </a:lnTo>
                    <a:lnTo>
                      <a:pt x="643" y="205"/>
                    </a:lnTo>
                    <a:lnTo>
                      <a:pt x="643" y="205"/>
                    </a:lnTo>
                    <a:lnTo>
                      <a:pt x="634" y="205"/>
                    </a:lnTo>
                    <a:lnTo>
                      <a:pt x="634" y="205"/>
                    </a:lnTo>
                    <a:lnTo>
                      <a:pt x="625" y="205"/>
                    </a:lnTo>
                    <a:lnTo>
                      <a:pt x="625" y="205"/>
                    </a:lnTo>
                    <a:lnTo>
                      <a:pt x="625" y="205"/>
                    </a:lnTo>
                    <a:lnTo>
                      <a:pt x="616" y="205"/>
                    </a:lnTo>
                    <a:lnTo>
                      <a:pt x="616" y="205"/>
                    </a:lnTo>
                    <a:lnTo>
                      <a:pt x="616" y="205"/>
                    </a:lnTo>
                    <a:lnTo>
                      <a:pt x="616" y="205"/>
                    </a:lnTo>
                    <a:lnTo>
                      <a:pt x="616" y="205"/>
                    </a:lnTo>
                    <a:lnTo>
                      <a:pt x="616" y="205"/>
                    </a:lnTo>
                    <a:lnTo>
                      <a:pt x="616" y="205"/>
                    </a:lnTo>
                    <a:lnTo>
                      <a:pt x="616" y="205"/>
                    </a:lnTo>
                    <a:lnTo>
                      <a:pt x="616" y="205"/>
                    </a:lnTo>
                    <a:lnTo>
                      <a:pt x="616" y="205"/>
                    </a:lnTo>
                    <a:lnTo>
                      <a:pt x="616" y="197"/>
                    </a:lnTo>
                    <a:lnTo>
                      <a:pt x="625" y="197"/>
                    </a:lnTo>
                    <a:lnTo>
                      <a:pt x="625" y="197"/>
                    </a:lnTo>
                    <a:lnTo>
                      <a:pt x="625" y="197"/>
                    </a:lnTo>
                    <a:lnTo>
                      <a:pt x="634" y="197"/>
                    </a:lnTo>
                    <a:lnTo>
                      <a:pt x="634" y="197"/>
                    </a:lnTo>
                    <a:lnTo>
                      <a:pt x="634" y="197"/>
                    </a:lnTo>
                    <a:lnTo>
                      <a:pt x="643" y="197"/>
                    </a:lnTo>
                    <a:lnTo>
                      <a:pt x="643" y="188"/>
                    </a:lnTo>
                    <a:lnTo>
                      <a:pt x="643" y="188"/>
                    </a:lnTo>
                    <a:lnTo>
                      <a:pt x="643" y="188"/>
                    </a:lnTo>
                    <a:lnTo>
                      <a:pt x="643" y="188"/>
                    </a:lnTo>
                    <a:lnTo>
                      <a:pt x="643" y="179"/>
                    </a:lnTo>
                    <a:lnTo>
                      <a:pt x="643" y="179"/>
                    </a:lnTo>
                    <a:lnTo>
                      <a:pt x="643" y="179"/>
                    </a:lnTo>
                    <a:lnTo>
                      <a:pt x="652" y="179"/>
                    </a:lnTo>
                    <a:lnTo>
                      <a:pt x="652" y="170"/>
                    </a:lnTo>
                    <a:lnTo>
                      <a:pt x="652" y="161"/>
                    </a:lnTo>
                    <a:lnTo>
                      <a:pt x="652" y="161"/>
                    </a:lnTo>
                    <a:lnTo>
                      <a:pt x="652" y="152"/>
                    </a:lnTo>
                    <a:lnTo>
                      <a:pt x="652" y="152"/>
                    </a:lnTo>
                    <a:lnTo>
                      <a:pt x="652" y="143"/>
                    </a:lnTo>
                    <a:lnTo>
                      <a:pt x="652" y="134"/>
                    </a:lnTo>
                    <a:lnTo>
                      <a:pt x="652" y="134"/>
                    </a:lnTo>
                    <a:lnTo>
                      <a:pt x="652" y="125"/>
                    </a:lnTo>
                    <a:lnTo>
                      <a:pt x="652" y="125"/>
                    </a:lnTo>
                    <a:lnTo>
                      <a:pt x="652" y="125"/>
                    </a:lnTo>
                    <a:lnTo>
                      <a:pt x="652" y="125"/>
                    </a:lnTo>
                    <a:lnTo>
                      <a:pt x="652" y="125"/>
                    </a:lnTo>
                    <a:lnTo>
                      <a:pt x="652" y="116"/>
                    </a:lnTo>
                    <a:lnTo>
                      <a:pt x="652" y="116"/>
                    </a:lnTo>
                    <a:lnTo>
                      <a:pt x="652" y="116"/>
                    </a:lnTo>
                    <a:lnTo>
                      <a:pt x="661" y="116"/>
                    </a:lnTo>
                    <a:lnTo>
                      <a:pt x="661" y="116"/>
                    </a:lnTo>
                    <a:lnTo>
                      <a:pt x="661" y="116"/>
                    </a:lnTo>
                    <a:lnTo>
                      <a:pt x="661" y="107"/>
                    </a:lnTo>
                    <a:lnTo>
                      <a:pt x="661" y="107"/>
                    </a:lnTo>
                    <a:lnTo>
                      <a:pt x="661" y="107"/>
                    </a:lnTo>
                    <a:lnTo>
                      <a:pt x="670" y="107"/>
                    </a:lnTo>
                    <a:lnTo>
                      <a:pt x="670" y="107"/>
                    </a:lnTo>
                    <a:lnTo>
                      <a:pt x="670" y="107"/>
                    </a:lnTo>
                    <a:lnTo>
                      <a:pt x="670" y="107"/>
                    </a:lnTo>
                    <a:lnTo>
                      <a:pt x="670" y="98"/>
                    </a:lnTo>
                    <a:lnTo>
                      <a:pt x="670" y="98"/>
                    </a:lnTo>
                    <a:lnTo>
                      <a:pt x="670" y="98"/>
                    </a:lnTo>
                    <a:lnTo>
                      <a:pt x="670" y="98"/>
                    </a:lnTo>
                    <a:lnTo>
                      <a:pt x="670" y="98"/>
                    </a:lnTo>
                    <a:lnTo>
                      <a:pt x="670" y="98"/>
                    </a:lnTo>
                    <a:lnTo>
                      <a:pt x="670" y="89"/>
                    </a:lnTo>
                    <a:lnTo>
                      <a:pt x="670" y="89"/>
                    </a:lnTo>
                    <a:lnTo>
                      <a:pt x="670" y="89"/>
                    </a:lnTo>
                    <a:lnTo>
                      <a:pt x="661" y="89"/>
                    </a:lnTo>
                    <a:lnTo>
                      <a:pt x="661" y="89"/>
                    </a:lnTo>
                    <a:lnTo>
                      <a:pt x="661" y="89"/>
                    </a:lnTo>
                    <a:lnTo>
                      <a:pt x="661" y="89"/>
                    </a:lnTo>
                    <a:lnTo>
                      <a:pt x="661" y="80"/>
                    </a:lnTo>
                    <a:lnTo>
                      <a:pt x="661" y="89"/>
                    </a:lnTo>
                    <a:lnTo>
                      <a:pt x="661" y="89"/>
                    </a:lnTo>
                    <a:lnTo>
                      <a:pt x="661" y="89"/>
                    </a:lnTo>
                    <a:lnTo>
                      <a:pt x="661" y="89"/>
                    </a:lnTo>
                    <a:lnTo>
                      <a:pt x="661" y="89"/>
                    </a:lnTo>
                    <a:lnTo>
                      <a:pt x="652" y="89"/>
                    </a:lnTo>
                    <a:lnTo>
                      <a:pt x="652" y="89"/>
                    </a:lnTo>
                    <a:lnTo>
                      <a:pt x="652" y="89"/>
                    </a:lnTo>
                    <a:lnTo>
                      <a:pt x="652" y="89"/>
                    </a:lnTo>
                    <a:lnTo>
                      <a:pt x="652" y="89"/>
                    </a:lnTo>
                    <a:lnTo>
                      <a:pt x="652" y="89"/>
                    </a:lnTo>
                    <a:lnTo>
                      <a:pt x="652" y="89"/>
                    </a:lnTo>
                    <a:lnTo>
                      <a:pt x="643" y="98"/>
                    </a:lnTo>
                    <a:lnTo>
                      <a:pt x="643" y="98"/>
                    </a:lnTo>
                    <a:lnTo>
                      <a:pt x="643" y="98"/>
                    </a:lnTo>
                    <a:lnTo>
                      <a:pt x="643" y="98"/>
                    </a:lnTo>
                    <a:lnTo>
                      <a:pt x="643" y="98"/>
                    </a:lnTo>
                    <a:lnTo>
                      <a:pt x="634" y="98"/>
                    </a:lnTo>
                    <a:lnTo>
                      <a:pt x="634" y="98"/>
                    </a:lnTo>
                    <a:lnTo>
                      <a:pt x="634" y="98"/>
                    </a:lnTo>
                    <a:lnTo>
                      <a:pt x="625" y="98"/>
                    </a:lnTo>
                    <a:lnTo>
                      <a:pt x="625" y="98"/>
                    </a:lnTo>
                    <a:lnTo>
                      <a:pt x="625" y="98"/>
                    </a:lnTo>
                    <a:lnTo>
                      <a:pt x="616" y="98"/>
                    </a:lnTo>
                    <a:lnTo>
                      <a:pt x="616" y="98"/>
                    </a:lnTo>
                    <a:lnTo>
                      <a:pt x="616" y="98"/>
                    </a:lnTo>
                    <a:lnTo>
                      <a:pt x="616" y="98"/>
                    </a:lnTo>
                    <a:lnTo>
                      <a:pt x="616" y="98"/>
                    </a:lnTo>
                    <a:lnTo>
                      <a:pt x="616" y="107"/>
                    </a:lnTo>
                    <a:lnTo>
                      <a:pt x="616" y="107"/>
                    </a:lnTo>
                    <a:lnTo>
                      <a:pt x="616" y="107"/>
                    </a:lnTo>
                    <a:lnTo>
                      <a:pt x="607" y="107"/>
                    </a:lnTo>
                    <a:lnTo>
                      <a:pt x="607" y="107"/>
                    </a:lnTo>
                    <a:lnTo>
                      <a:pt x="607" y="107"/>
                    </a:lnTo>
                    <a:lnTo>
                      <a:pt x="607" y="107"/>
                    </a:lnTo>
                    <a:lnTo>
                      <a:pt x="607" y="116"/>
                    </a:lnTo>
                    <a:lnTo>
                      <a:pt x="607" y="116"/>
                    </a:lnTo>
                    <a:lnTo>
                      <a:pt x="607" y="116"/>
                    </a:lnTo>
                    <a:lnTo>
                      <a:pt x="607" y="116"/>
                    </a:lnTo>
                    <a:lnTo>
                      <a:pt x="607" y="116"/>
                    </a:lnTo>
                    <a:lnTo>
                      <a:pt x="607" y="125"/>
                    </a:lnTo>
                    <a:lnTo>
                      <a:pt x="607" y="125"/>
                    </a:lnTo>
                    <a:lnTo>
                      <a:pt x="607" y="125"/>
                    </a:lnTo>
                    <a:lnTo>
                      <a:pt x="607" y="134"/>
                    </a:lnTo>
                    <a:lnTo>
                      <a:pt x="607" y="134"/>
                    </a:lnTo>
                    <a:lnTo>
                      <a:pt x="607" y="134"/>
                    </a:lnTo>
                    <a:lnTo>
                      <a:pt x="607" y="134"/>
                    </a:lnTo>
                    <a:lnTo>
                      <a:pt x="607" y="143"/>
                    </a:lnTo>
                    <a:lnTo>
                      <a:pt x="607" y="143"/>
                    </a:lnTo>
                    <a:lnTo>
                      <a:pt x="598" y="134"/>
                    </a:lnTo>
                    <a:lnTo>
                      <a:pt x="598" y="134"/>
                    </a:lnTo>
                    <a:lnTo>
                      <a:pt x="598" y="134"/>
                    </a:lnTo>
                    <a:lnTo>
                      <a:pt x="598" y="134"/>
                    </a:lnTo>
                    <a:lnTo>
                      <a:pt x="589" y="134"/>
                    </a:lnTo>
                    <a:lnTo>
                      <a:pt x="589" y="134"/>
                    </a:lnTo>
                    <a:lnTo>
                      <a:pt x="589" y="125"/>
                    </a:lnTo>
                    <a:lnTo>
                      <a:pt x="589" y="125"/>
                    </a:lnTo>
                    <a:lnTo>
                      <a:pt x="589" y="125"/>
                    </a:lnTo>
                    <a:lnTo>
                      <a:pt x="589" y="125"/>
                    </a:lnTo>
                    <a:lnTo>
                      <a:pt x="580" y="116"/>
                    </a:lnTo>
                    <a:lnTo>
                      <a:pt x="580" y="116"/>
                    </a:lnTo>
                    <a:lnTo>
                      <a:pt x="580" y="116"/>
                    </a:lnTo>
                    <a:lnTo>
                      <a:pt x="580" y="116"/>
                    </a:lnTo>
                    <a:lnTo>
                      <a:pt x="580" y="107"/>
                    </a:lnTo>
                    <a:lnTo>
                      <a:pt x="580" y="107"/>
                    </a:lnTo>
                    <a:lnTo>
                      <a:pt x="580" y="107"/>
                    </a:lnTo>
                    <a:lnTo>
                      <a:pt x="580" y="98"/>
                    </a:lnTo>
                    <a:lnTo>
                      <a:pt x="580" y="98"/>
                    </a:lnTo>
                    <a:lnTo>
                      <a:pt x="580" y="98"/>
                    </a:lnTo>
                    <a:lnTo>
                      <a:pt x="580" y="89"/>
                    </a:lnTo>
                    <a:lnTo>
                      <a:pt x="580" y="89"/>
                    </a:lnTo>
                    <a:lnTo>
                      <a:pt x="580" y="89"/>
                    </a:lnTo>
                    <a:lnTo>
                      <a:pt x="580" y="89"/>
                    </a:lnTo>
                    <a:lnTo>
                      <a:pt x="580" y="80"/>
                    </a:lnTo>
                    <a:lnTo>
                      <a:pt x="572" y="80"/>
                    </a:lnTo>
                    <a:lnTo>
                      <a:pt x="572" y="80"/>
                    </a:lnTo>
                    <a:lnTo>
                      <a:pt x="572" y="80"/>
                    </a:lnTo>
                    <a:lnTo>
                      <a:pt x="572" y="80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63"/>
                    </a:lnTo>
                    <a:lnTo>
                      <a:pt x="563" y="63"/>
                    </a:lnTo>
                    <a:lnTo>
                      <a:pt x="563" y="63"/>
                    </a:lnTo>
                    <a:lnTo>
                      <a:pt x="563" y="63"/>
                    </a:lnTo>
                    <a:lnTo>
                      <a:pt x="563" y="63"/>
                    </a:lnTo>
                    <a:lnTo>
                      <a:pt x="563" y="54"/>
                    </a:lnTo>
                    <a:lnTo>
                      <a:pt x="563" y="54"/>
                    </a:lnTo>
                    <a:lnTo>
                      <a:pt x="563" y="54"/>
                    </a:lnTo>
                    <a:lnTo>
                      <a:pt x="563" y="45"/>
                    </a:lnTo>
                    <a:lnTo>
                      <a:pt x="563" y="45"/>
                    </a:lnTo>
                    <a:lnTo>
                      <a:pt x="563" y="45"/>
                    </a:lnTo>
                    <a:lnTo>
                      <a:pt x="572" y="36"/>
                    </a:lnTo>
                    <a:lnTo>
                      <a:pt x="563" y="36"/>
                    </a:lnTo>
                    <a:lnTo>
                      <a:pt x="563" y="36"/>
                    </a:lnTo>
                    <a:lnTo>
                      <a:pt x="563" y="36"/>
                    </a:lnTo>
                    <a:lnTo>
                      <a:pt x="563" y="36"/>
                    </a:lnTo>
                    <a:lnTo>
                      <a:pt x="563" y="36"/>
                    </a:lnTo>
                    <a:lnTo>
                      <a:pt x="554" y="27"/>
                    </a:lnTo>
                    <a:lnTo>
                      <a:pt x="554" y="27"/>
                    </a:lnTo>
                    <a:lnTo>
                      <a:pt x="554" y="27"/>
                    </a:lnTo>
                    <a:lnTo>
                      <a:pt x="554" y="27"/>
                    </a:lnTo>
                    <a:lnTo>
                      <a:pt x="554" y="27"/>
                    </a:lnTo>
                    <a:lnTo>
                      <a:pt x="554" y="27"/>
                    </a:lnTo>
                    <a:lnTo>
                      <a:pt x="554" y="18"/>
                    </a:lnTo>
                    <a:lnTo>
                      <a:pt x="554" y="18"/>
                    </a:lnTo>
                    <a:lnTo>
                      <a:pt x="554" y="18"/>
                    </a:lnTo>
                    <a:lnTo>
                      <a:pt x="554" y="18"/>
                    </a:lnTo>
                    <a:lnTo>
                      <a:pt x="554" y="18"/>
                    </a:lnTo>
                    <a:lnTo>
                      <a:pt x="554" y="18"/>
                    </a:lnTo>
                    <a:lnTo>
                      <a:pt x="554" y="18"/>
                    </a:lnTo>
                    <a:lnTo>
                      <a:pt x="554" y="18"/>
                    </a:lnTo>
                    <a:lnTo>
                      <a:pt x="554" y="18"/>
                    </a:lnTo>
                    <a:lnTo>
                      <a:pt x="545" y="18"/>
                    </a:lnTo>
                    <a:lnTo>
                      <a:pt x="545" y="18"/>
                    </a:lnTo>
                    <a:lnTo>
                      <a:pt x="545" y="18"/>
                    </a:lnTo>
                    <a:lnTo>
                      <a:pt x="545" y="18"/>
                    </a:lnTo>
                    <a:lnTo>
                      <a:pt x="545" y="18"/>
                    </a:lnTo>
                    <a:lnTo>
                      <a:pt x="536" y="18"/>
                    </a:lnTo>
                    <a:lnTo>
                      <a:pt x="536" y="18"/>
                    </a:lnTo>
                    <a:lnTo>
                      <a:pt x="536" y="18"/>
                    </a:lnTo>
                    <a:lnTo>
                      <a:pt x="527" y="18"/>
                    </a:lnTo>
                    <a:lnTo>
                      <a:pt x="527" y="18"/>
                    </a:lnTo>
                    <a:lnTo>
                      <a:pt x="527" y="18"/>
                    </a:lnTo>
                    <a:lnTo>
                      <a:pt x="518" y="18"/>
                    </a:lnTo>
                    <a:lnTo>
                      <a:pt x="518" y="18"/>
                    </a:lnTo>
                    <a:lnTo>
                      <a:pt x="518" y="18"/>
                    </a:lnTo>
                    <a:lnTo>
                      <a:pt x="518" y="18"/>
                    </a:lnTo>
                    <a:lnTo>
                      <a:pt x="518" y="9"/>
                    </a:lnTo>
                    <a:lnTo>
                      <a:pt x="518" y="9"/>
                    </a:lnTo>
                    <a:lnTo>
                      <a:pt x="518" y="9"/>
                    </a:lnTo>
                    <a:lnTo>
                      <a:pt x="518" y="9"/>
                    </a:lnTo>
                    <a:lnTo>
                      <a:pt x="518" y="9"/>
                    </a:lnTo>
                    <a:lnTo>
                      <a:pt x="509" y="9"/>
                    </a:lnTo>
                    <a:lnTo>
                      <a:pt x="509" y="9"/>
                    </a:lnTo>
                    <a:lnTo>
                      <a:pt x="509" y="9"/>
                    </a:lnTo>
                    <a:lnTo>
                      <a:pt x="509" y="9"/>
                    </a:lnTo>
                    <a:lnTo>
                      <a:pt x="500" y="9"/>
                    </a:lnTo>
                    <a:lnTo>
                      <a:pt x="500" y="9"/>
                    </a:lnTo>
                    <a:lnTo>
                      <a:pt x="500" y="9"/>
                    </a:lnTo>
                    <a:lnTo>
                      <a:pt x="500" y="9"/>
                    </a:lnTo>
                    <a:lnTo>
                      <a:pt x="500" y="9"/>
                    </a:lnTo>
                    <a:lnTo>
                      <a:pt x="491" y="9"/>
                    </a:lnTo>
                    <a:lnTo>
                      <a:pt x="491" y="9"/>
                    </a:lnTo>
                    <a:lnTo>
                      <a:pt x="491" y="9"/>
                    </a:lnTo>
                    <a:lnTo>
                      <a:pt x="491" y="9"/>
                    </a:lnTo>
                    <a:lnTo>
                      <a:pt x="491" y="9"/>
                    </a:lnTo>
                    <a:lnTo>
                      <a:pt x="491" y="9"/>
                    </a:lnTo>
                    <a:lnTo>
                      <a:pt x="482" y="9"/>
                    </a:lnTo>
                    <a:lnTo>
                      <a:pt x="482" y="9"/>
                    </a:lnTo>
                    <a:lnTo>
                      <a:pt x="482" y="9"/>
                    </a:lnTo>
                    <a:lnTo>
                      <a:pt x="473" y="9"/>
                    </a:lnTo>
                    <a:lnTo>
                      <a:pt x="473" y="0"/>
                    </a:lnTo>
                    <a:lnTo>
                      <a:pt x="473" y="0"/>
                    </a:lnTo>
                    <a:lnTo>
                      <a:pt x="464" y="0"/>
                    </a:lnTo>
                    <a:lnTo>
                      <a:pt x="464" y="0"/>
                    </a:lnTo>
                    <a:lnTo>
                      <a:pt x="464" y="0"/>
                    </a:lnTo>
                    <a:lnTo>
                      <a:pt x="455" y="0"/>
                    </a:lnTo>
                    <a:lnTo>
                      <a:pt x="455" y="0"/>
                    </a:lnTo>
                    <a:lnTo>
                      <a:pt x="455" y="0"/>
                    </a:lnTo>
                    <a:lnTo>
                      <a:pt x="446" y="0"/>
                    </a:lnTo>
                    <a:lnTo>
                      <a:pt x="446" y="0"/>
                    </a:lnTo>
                    <a:lnTo>
                      <a:pt x="446" y="0"/>
                    </a:lnTo>
                    <a:lnTo>
                      <a:pt x="438" y="0"/>
                    </a:lnTo>
                    <a:lnTo>
                      <a:pt x="438" y="0"/>
                    </a:lnTo>
                    <a:lnTo>
                      <a:pt x="438" y="0"/>
                    </a:lnTo>
                    <a:lnTo>
                      <a:pt x="438" y="0"/>
                    </a:lnTo>
                    <a:lnTo>
                      <a:pt x="429" y="0"/>
                    </a:lnTo>
                    <a:lnTo>
                      <a:pt x="429" y="0"/>
                    </a:lnTo>
                    <a:lnTo>
                      <a:pt x="429" y="0"/>
                    </a:lnTo>
                    <a:lnTo>
                      <a:pt x="429" y="0"/>
                    </a:lnTo>
                    <a:lnTo>
                      <a:pt x="429" y="0"/>
                    </a:lnTo>
                    <a:lnTo>
                      <a:pt x="420" y="0"/>
                    </a:lnTo>
                    <a:lnTo>
                      <a:pt x="420" y="0"/>
                    </a:lnTo>
                    <a:lnTo>
                      <a:pt x="420" y="9"/>
                    </a:lnTo>
                    <a:lnTo>
                      <a:pt x="420" y="9"/>
                    </a:lnTo>
                    <a:lnTo>
                      <a:pt x="411" y="9"/>
                    </a:lnTo>
                    <a:lnTo>
                      <a:pt x="411" y="9"/>
                    </a:lnTo>
                    <a:lnTo>
                      <a:pt x="411" y="9"/>
                    </a:lnTo>
                    <a:lnTo>
                      <a:pt x="411" y="9"/>
                    </a:lnTo>
                    <a:lnTo>
                      <a:pt x="411" y="9"/>
                    </a:lnTo>
                    <a:lnTo>
                      <a:pt x="411" y="9"/>
                    </a:lnTo>
                    <a:lnTo>
                      <a:pt x="402" y="9"/>
                    </a:lnTo>
                    <a:lnTo>
                      <a:pt x="402" y="9"/>
                    </a:lnTo>
                    <a:lnTo>
                      <a:pt x="402" y="9"/>
                    </a:lnTo>
                    <a:lnTo>
                      <a:pt x="402" y="18"/>
                    </a:lnTo>
                    <a:lnTo>
                      <a:pt x="402" y="18"/>
                    </a:lnTo>
                    <a:lnTo>
                      <a:pt x="402" y="18"/>
                    </a:lnTo>
                    <a:lnTo>
                      <a:pt x="402" y="18"/>
                    </a:lnTo>
                    <a:lnTo>
                      <a:pt x="402" y="18"/>
                    </a:lnTo>
                    <a:lnTo>
                      <a:pt x="402" y="27"/>
                    </a:lnTo>
                    <a:lnTo>
                      <a:pt x="402" y="27"/>
                    </a:lnTo>
                    <a:lnTo>
                      <a:pt x="402" y="27"/>
                    </a:lnTo>
                    <a:lnTo>
                      <a:pt x="402" y="27"/>
                    </a:lnTo>
                    <a:lnTo>
                      <a:pt x="402" y="36"/>
                    </a:lnTo>
                    <a:lnTo>
                      <a:pt x="402" y="36"/>
                    </a:lnTo>
                    <a:lnTo>
                      <a:pt x="402" y="36"/>
                    </a:lnTo>
                    <a:lnTo>
                      <a:pt x="411" y="36"/>
                    </a:lnTo>
                    <a:lnTo>
                      <a:pt x="411" y="36"/>
                    </a:lnTo>
                    <a:lnTo>
                      <a:pt x="411" y="45"/>
                    </a:lnTo>
                    <a:lnTo>
                      <a:pt x="411" y="45"/>
                    </a:lnTo>
                    <a:lnTo>
                      <a:pt x="411" y="45"/>
                    </a:lnTo>
                    <a:lnTo>
                      <a:pt x="411" y="45"/>
                    </a:lnTo>
                    <a:lnTo>
                      <a:pt x="411" y="45"/>
                    </a:lnTo>
                    <a:lnTo>
                      <a:pt x="411" y="54"/>
                    </a:lnTo>
                    <a:lnTo>
                      <a:pt x="411" y="54"/>
                    </a:lnTo>
                    <a:lnTo>
                      <a:pt x="411" y="45"/>
                    </a:lnTo>
                    <a:lnTo>
                      <a:pt x="420" y="45"/>
                    </a:lnTo>
                    <a:lnTo>
                      <a:pt x="420" y="45"/>
                    </a:lnTo>
                    <a:lnTo>
                      <a:pt x="420" y="45"/>
                    </a:lnTo>
                    <a:lnTo>
                      <a:pt x="420" y="45"/>
                    </a:lnTo>
                    <a:lnTo>
                      <a:pt x="420" y="45"/>
                    </a:lnTo>
                    <a:lnTo>
                      <a:pt x="429" y="45"/>
                    </a:lnTo>
                    <a:lnTo>
                      <a:pt x="429" y="45"/>
                    </a:lnTo>
                    <a:lnTo>
                      <a:pt x="429" y="45"/>
                    </a:lnTo>
                    <a:lnTo>
                      <a:pt x="429" y="54"/>
                    </a:lnTo>
                    <a:lnTo>
                      <a:pt x="429" y="54"/>
                    </a:lnTo>
                    <a:lnTo>
                      <a:pt x="429" y="54"/>
                    </a:lnTo>
                    <a:lnTo>
                      <a:pt x="429" y="54"/>
                    </a:lnTo>
                    <a:lnTo>
                      <a:pt x="429" y="54"/>
                    </a:lnTo>
                    <a:lnTo>
                      <a:pt x="429" y="54"/>
                    </a:lnTo>
                    <a:lnTo>
                      <a:pt x="429" y="54"/>
                    </a:lnTo>
                    <a:lnTo>
                      <a:pt x="429" y="54"/>
                    </a:lnTo>
                    <a:lnTo>
                      <a:pt x="429" y="54"/>
                    </a:lnTo>
                    <a:lnTo>
                      <a:pt x="438" y="54"/>
                    </a:lnTo>
                    <a:lnTo>
                      <a:pt x="438" y="54"/>
                    </a:lnTo>
                    <a:lnTo>
                      <a:pt x="438" y="54"/>
                    </a:lnTo>
                    <a:lnTo>
                      <a:pt x="446" y="54"/>
                    </a:lnTo>
                    <a:lnTo>
                      <a:pt x="446" y="54"/>
                    </a:lnTo>
                    <a:lnTo>
                      <a:pt x="446" y="54"/>
                    </a:lnTo>
                    <a:lnTo>
                      <a:pt x="446" y="54"/>
                    </a:lnTo>
                    <a:lnTo>
                      <a:pt x="446" y="54"/>
                    </a:lnTo>
                    <a:lnTo>
                      <a:pt x="446" y="63"/>
                    </a:lnTo>
                    <a:lnTo>
                      <a:pt x="446" y="63"/>
                    </a:lnTo>
                    <a:lnTo>
                      <a:pt x="446" y="63"/>
                    </a:lnTo>
                    <a:lnTo>
                      <a:pt x="446" y="63"/>
                    </a:lnTo>
                    <a:lnTo>
                      <a:pt x="455" y="72"/>
                    </a:lnTo>
                    <a:lnTo>
                      <a:pt x="455" y="72"/>
                    </a:lnTo>
                    <a:lnTo>
                      <a:pt x="455" y="72"/>
                    </a:lnTo>
                    <a:lnTo>
                      <a:pt x="455" y="72"/>
                    </a:lnTo>
                    <a:lnTo>
                      <a:pt x="455" y="72"/>
                    </a:lnTo>
                    <a:lnTo>
                      <a:pt x="455" y="72"/>
                    </a:lnTo>
                    <a:lnTo>
                      <a:pt x="455" y="80"/>
                    </a:lnTo>
                    <a:lnTo>
                      <a:pt x="455" y="80"/>
                    </a:lnTo>
                    <a:lnTo>
                      <a:pt x="464" y="80"/>
                    </a:lnTo>
                    <a:lnTo>
                      <a:pt x="455" y="80"/>
                    </a:lnTo>
                    <a:lnTo>
                      <a:pt x="455" y="80"/>
                    </a:lnTo>
                    <a:lnTo>
                      <a:pt x="455" y="80"/>
                    </a:lnTo>
                    <a:lnTo>
                      <a:pt x="455" y="80"/>
                    </a:lnTo>
                    <a:lnTo>
                      <a:pt x="455" y="89"/>
                    </a:lnTo>
                    <a:lnTo>
                      <a:pt x="455" y="89"/>
                    </a:lnTo>
                    <a:lnTo>
                      <a:pt x="455" y="89"/>
                    </a:lnTo>
                    <a:lnTo>
                      <a:pt x="455" y="89"/>
                    </a:lnTo>
                    <a:lnTo>
                      <a:pt x="446" y="89"/>
                    </a:lnTo>
                    <a:lnTo>
                      <a:pt x="446" y="89"/>
                    </a:lnTo>
                    <a:lnTo>
                      <a:pt x="446" y="89"/>
                    </a:lnTo>
                    <a:lnTo>
                      <a:pt x="446" y="89"/>
                    </a:lnTo>
                    <a:lnTo>
                      <a:pt x="446" y="89"/>
                    </a:lnTo>
                    <a:lnTo>
                      <a:pt x="446" y="89"/>
                    </a:lnTo>
                    <a:lnTo>
                      <a:pt x="446" y="89"/>
                    </a:lnTo>
                    <a:lnTo>
                      <a:pt x="446" y="89"/>
                    </a:lnTo>
                    <a:lnTo>
                      <a:pt x="446" y="98"/>
                    </a:lnTo>
                    <a:lnTo>
                      <a:pt x="446" y="98"/>
                    </a:lnTo>
                    <a:lnTo>
                      <a:pt x="446" y="98"/>
                    </a:lnTo>
                    <a:lnTo>
                      <a:pt x="438" y="98"/>
                    </a:lnTo>
                    <a:lnTo>
                      <a:pt x="438" y="107"/>
                    </a:lnTo>
                    <a:lnTo>
                      <a:pt x="438" y="107"/>
                    </a:lnTo>
                    <a:lnTo>
                      <a:pt x="438" y="107"/>
                    </a:lnTo>
                    <a:lnTo>
                      <a:pt x="438" y="107"/>
                    </a:lnTo>
                    <a:lnTo>
                      <a:pt x="438" y="116"/>
                    </a:lnTo>
                    <a:lnTo>
                      <a:pt x="438" y="116"/>
                    </a:lnTo>
                    <a:lnTo>
                      <a:pt x="438" y="116"/>
                    </a:lnTo>
                    <a:lnTo>
                      <a:pt x="438" y="125"/>
                    </a:lnTo>
                    <a:lnTo>
                      <a:pt x="438" y="125"/>
                    </a:lnTo>
                    <a:lnTo>
                      <a:pt x="438" y="125"/>
                    </a:lnTo>
                    <a:lnTo>
                      <a:pt x="438" y="134"/>
                    </a:lnTo>
                    <a:lnTo>
                      <a:pt x="438" y="134"/>
                    </a:lnTo>
                    <a:lnTo>
                      <a:pt x="438" y="134"/>
                    </a:lnTo>
                    <a:lnTo>
                      <a:pt x="438" y="134"/>
                    </a:lnTo>
                    <a:lnTo>
                      <a:pt x="429" y="134"/>
                    </a:lnTo>
                    <a:lnTo>
                      <a:pt x="429" y="134"/>
                    </a:lnTo>
                    <a:lnTo>
                      <a:pt x="420" y="134"/>
                    </a:lnTo>
                    <a:lnTo>
                      <a:pt x="420" y="134"/>
                    </a:lnTo>
                    <a:lnTo>
                      <a:pt x="420" y="134"/>
                    </a:lnTo>
                    <a:lnTo>
                      <a:pt x="411" y="134"/>
                    </a:lnTo>
                    <a:lnTo>
                      <a:pt x="411" y="134"/>
                    </a:lnTo>
                    <a:lnTo>
                      <a:pt x="411" y="134"/>
                    </a:lnTo>
                    <a:lnTo>
                      <a:pt x="411" y="134"/>
                    </a:lnTo>
                    <a:lnTo>
                      <a:pt x="411" y="134"/>
                    </a:lnTo>
                    <a:lnTo>
                      <a:pt x="411" y="134"/>
                    </a:lnTo>
                    <a:lnTo>
                      <a:pt x="402" y="143"/>
                    </a:lnTo>
                    <a:lnTo>
                      <a:pt x="402" y="143"/>
                    </a:lnTo>
                    <a:lnTo>
                      <a:pt x="402" y="143"/>
                    </a:lnTo>
                    <a:lnTo>
                      <a:pt x="402" y="143"/>
                    </a:lnTo>
                    <a:lnTo>
                      <a:pt x="402" y="143"/>
                    </a:lnTo>
                    <a:lnTo>
                      <a:pt x="393" y="143"/>
                    </a:lnTo>
                    <a:lnTo>
                      <a:pt x="393" y="143"/>
                    </a:lnTo>
                    <a:lnTo>
                      <a:pt x="393" y="143"/>
                    </a:lnTo>
                    <a:lnTo>
                      <a:pt x="393" y="134"/>
                    </a:lnTo>
                    <a:lnTo>
                      <a:pt x="384" y="134"/>
                    </a:lnTo>
                    <a:lnTo>
                      <a:pt x="384" y="134"/>
                    </a:lnTo>
                    <a:lnTo>
                      <a:pt x="384" y="134"/>
                    </a:lnTo>
                    <a:lnTo>
                      <a:pt x="384" y="134"/>
                    </a:lnTo>
                    <a:lnTo>
                      <a:pt x="384" y="143"/>
                    </a:lnTo>
                    <a:lnTo>
                      <a:pt x="384" y="143"/>
                    </a:lnTo>
                    <a:lnTo>
                      <a:pt x="384" y="143"/>
                    </a:lnTo>
                    <a:lnTo>
                      <a:pt x="375" y="143"/>
                    </a:lnTo>
                    <a:lnTo>
                      <a:pt x="375" y="143"/>
                    </a:lnTo>
                    <a:lnTo>
                      <a:pt x="375" y="143"/>
                    </a:lnTo>
                    <a:lnTo>
                      <a:pt x="375" y="143"/>
                    </a:lnTo>
                    <a:lnTo>
                      <a:pt x="375" y="143"/>
                    </a:lnTo>
                    <a:lnTo>
                      <a:pt x="366" y="143"/>
                    </a:lnTo>
                    <a:lnTo>
                      <a:pt x="366" y="143"/>
                    </a:lnTo>
                    <a:lnTo>
                      <a:pt x="366" y="143"/>
                    </a:lnTo>
                    <a:lnTo>
                      <a:pt x="366" y="152"/>
                    </a:lnTo>
                    <a:lnTo>
                      <a:pt x="357" y="152"/>
                    </a:lnTo>
                    <a:lnTo>
                      <a:pt x="357" y="152"/>
                    </a:lnTo>
                    <a:lnTo>
                      <a:pt x="357" y="152"/>
                    </a:lnTo>
                    <a:lnTo>
                      <a:pt x="357" y="152"/>
                    </a:lnTo>
                    <a:lnTo>
                      <a:pt x="348" y="152"/>
                    </a:lnTo>
                    <a:lnTo>
                      <a:pt x="348" y="152"/>
                    </a:lnTo>
                    <a:lnTo>
                      <a:pt x="348" y="161"/>
                    </a:lnTo>
                    <a:lnTo>
                      <a:pt x="348" y="161"/>
                    </a:lnTo>
                    <a:lnTo>
                      <a:pt x="339" y="161"/>
                    </a:lnTo>
                    <a:lnTo>
                      <a:pt x="339" y="161"/>
                    </a:lnTo>
                    <a:lnTo>
                      <a:pt x="339" y="161"/>
                    </a:lnTo>
                    <a:lnTo>
                      <a:pt x="339" y="161"/>
                    </a:lnTo>
                    <a:lnTo>
                      <a:pt x="330" y="161"/>
                    </a:lnTo>
                    <a:lnTo>
                      <a:pt x="330" y="170"/>
                    </a:lnTo>
                    <a:lnTo>
                      <a:pt x="330" y="170"/>
                    </a:lnTo>
                    <a:lnTo>
                      <a:pt x="321" y="170"/>
                    </a:lnTo>
                    <a:lnTo>
                      <a:pt x="321" y="170"/>
                    </a:lnTo>
                    <a:lnTo>
                      <a:pt x="321" y="170"/>
                    </a:lnTo>
                    <a:lnTo>
                      <a:pt x="321" y="170"/>
                    </a:lnTo>
                    <a:lnTo>
                      <a:pt x="312" y="170"/>
                    </a:lnTo>
                    <a:lnTo>
                      <a:pt x="312" y="170"/>
                    </a:lnTo>
                    <a:lnTo>
                      <a:pt x="312" y="170"/>
                    </a:lnTo>
                    <a:lnTo>
                      <a:pt x="312" y="170"/>
                    </a:lnTo>
                    <a:lnTo>
                      <a:pt x="312" y="170"/>
                    </a:lnTo>
                    <a:lnTo>
                      <a:pt x="304" y="170"/>
                    </a:lnTo>
                    <a:lnTo>
                      <a:pt x="304" y="161"/>
                    </a:lnTo>
                    <a:lnTo>
                      <a:pt x="304" y="170"/>
                    </a:lnTo>
                    <a:lnTo>
                      <a:pt x="304" y="170"/>
                    </a:lnTo>
                    <a:lnTo>
                      <a:pt x="295" y="170"/>
                    </a:lnTo>
                    <a:lnTo>
                      <a:pt x="295" y="170"/>
                    </a:lnTo>
                    <a:lnTo>
                      <a:pt x="295" y="170"/>
                    </a:lnTo>
                    <a:lnTo>
                      <a:pt x="295" y="170"/>
                    </a:lnTo>
                    <a:lnTo>
                      <a:pt x="286" y="170"/>
                    </a:lnTo>
                    <a:lnTo>
                      <a:pt x="286" y="170"/>
                    </a:lnTo>
                    <a:lnTo>
                      <a:pt x="286" y="170"/>
                    </a:lnTo>
                    <a:lnTo>
                      <a:pt x="286" y="170"/>
                    </a:lnTo>
                    <a:lnTo>
                      <a:pt x="286" y="170"/>
                    </a:lnTo>
                    <a:lnTo>
                      <a:pt x="286" y="170"/>
                    </a:lnTo>
                    <a:lnTo>
                      <a:pt x="286" y="179"/>
                    </a:lnTo>
                    <a:lnTo>
                      <a:pt x="277" y="179"/>
                    </a:lnTo>
                    <a:lnTo>
                      <a:pt x="277" y="179"/>
                    </a:lnTo>
                    <a:lnTo>
                      <a:pt x="277" y="179"/>
                    </a:lnTo>
                    <a:lnTo>
                      <a:pt x="277" y="179"/>
                    </a:lnTo>
                    <a:lnTo>
                      <a:pt x="277" y="179"/>
                    </a:lnTo>
                    <a:lnTo>
                      <a:pt x="268" y="179"/>
                    </a:lnTo>
                    <a:lnTo>
                      <a:pt x="268" y="179"/>
                    </a:lnTo>
                    <a:lnTo>
                      <a:pt x="259" y="179"/>
                    </a:lnTo>
                    <a:lnTo>
                      <a:pt x="259" y="179"/>
                    </a:lnTo>
                    <a:lnTo>
                      <a:pt x="259" y="179"/>
                    </a:lnTo>
                    <a:lnTo>
                      <a:pt x="250" y="179"/>
                    </a:lnTo>
                    <a:lnTo>
                      <a:pt x="250" y="179"/>
                    </a:lnTo>
                    <a:lnTo>
                      <a:pt x="250" y="179"/>
                    </a:lnTo>
                    <a:lnTo>
                      <a:pt x="241" y="179"/>
                    </a:lnTo>
                    <a:lnTo>
                      <a:pt x="241" y="179"/>
                    </a:lnTo>
                    <a:lnTo>
                      <a:pt x="232" y="179"/>
                    </a:lnTo>
                    <a:lnTo>
                      <a:pt x="232" y="179"/>
                    </a:lnTo>
                    <a:lnTo>
                      <a:pt x="232" y="179"/>
                    </a:lnTo>
                    <a:lnTo>
                      <a:pt x="223" y="179"/>
                    </a:lnTo>
                    <a:lnTo>
                      <a:pt x="223" y="179"/>
                    </a:lnTo>
                    <a:lnTo>
                      <a:pt x="223" y="179"/>
                    </a:lnTo>
                    <a:lnTo>
                      <a:pt x="223" y="179"/>
                    </a:lnTo>
                    <a:lnTo>
                      <a:pt x="223" y="188"/>
                    </a:lnTo>
                    <a:lnTo>
                      <a:pt x="223" y="188"/>
                    </a:lnTo>
                    <a:lnTo>
                      <a:pt x="223" y="188"/>
                    </a:lnTo>
                    <a:lnTo>
                      <a:pt x="223" y="188"/>
                    </a:lnTo>
                    <a:lnTo>
                      <a:pt x="223" y="188"/>
                    </a:lnTo>
                    <a:lnTo>
                      <a:pt x="223" y="197"/>
                    </a:lnTo>
                    <a:lnTo>
                      <a:pt x="223" y="197"/>
                    </a:lnTo>
                    <a:lnTo>
                      <a:pt x="223" y="197"/>
                    </a:lnTo>
                    <a:lnTo>
                      <a:pt x="223" y="197"/>
                    </a:lnTo>
                    <a:lnTo>
                      <a:pt x="223" y="205"/>
                    </a:lnTo>
                    <a:lnTo>
                      <a:pt x="223" y="205"/>
                    </a:lnTo>
                    <a:lnTo>
                      <a:pt x="223" y="205"/>
                    </a:lnTo>
                    <a:lnTo>
                      <a:pt x="223" y="214"/>
                    </a:lnTo>
                    <a:lnTo>
                      <a:pt x="223" y="214"/>
                    </a:lnTo>
                    <a:lnTo>
                      <a:pt x="223" y="214"/>
                    </a:lnTo>
                    <a:lnTo>
                      <a:pt x="223" y="214"/>
                    </a:lnTo>
                    <a:lnTo>
                      <a:pt x="223" y="214"/>
                    </a:lnTo>
                    <a:lnTo>
                      <a:pt x="223" y="223"/>
                    </a:lnTo>
                    <a:lnTo>
                      <a:pt x="223" y="223"/>
                    </a:lnTo>
                    <a:lnTo>
                      <a:pt x="223" y="223"/>
                    </a:lnTo>
                    <a:lnTo>
                      <a:pt x="223" y="223"/>
                    </a:lnTo>
                    <a:lnTo>
                      <a:pt x="223" y="223"/>
                    </a:lnTo>
                    <a:lnTo>
                      <a:pt x="223" y="232"/>
                    </a:lnTo>
                    <a:lnTo>
                      <a:pt x="232" y="232"/>
                    </a:lnTo>
                    <a:lnTo>
                      <a:pt x="232" y="232"/>
                    </a:lnTo>
                    <a:lnTo>
                      <a:pt x="232" y="232"/>
                    </a:lnTo>
                    <a:lnTo>
                      <a:pt x="232" y="232"/>
                    </a:lnTo>
                    <a:lnTo>
                      <a:pt x="232" y="232"/>
                    </a:lnTo>
                    <a:lnTo>
                      <a:pt x="232" y="232"/>
                    </a:lnTo>
                    <a:lnTo>
                      <a:pt x="232" y="241"/>
                    </a:lnTo>
                    <a:lnTo>
                      <a:pt x="232" y="241"/>
                    </a:lnTo>
                    <a:lnTo>
                      <a:pt x="232" y="241"/>
                    </a:lnTo>
                    <a:lnTo>
                      <a:pt x="241" y="241"/>
                    </a:lnTo>
                    <a:lnTo>
                      <a:pt x="241" y="241"/>
                    </a:lnTo>
                    <a:lnTo>
                      <a:pt x="241" y="241"/>
                    </a:lnTo>
                    <a:lnTo>
                      <a:pt x="241" y="250"/>
                    </a:lnTo>
                    <a:lnTo>
                      <a:pt x="241" y="250"/>
                    </a:lnTo>
                    <a:lnTo>
                      <a:pt x="241" y="250"/>
                    </a:lnTo>
                    <a:lnTo>
                      <a:pt x="241" y="250"/>
                    </a:lnTo>
                    <a:lnTo>
                      <a:pt x="241" y="259"/>
                    </a:lnTo>
                    <a:lnTo>
                      <a:pt x="241" y="259"/>
                    </a:lnTo>
                    <a:lnTo>
                      <a:pt x="241" y="259"/>
                    </a:lnTo>
                    <a:lnTo>
                      <a:pt x="241" y="259"/>
                    </a:lnTo>
                    <a:lnTo>
                      <a:pt x="250" y="268"/>
                    </a:lnTo>
                    <a:lnTo>
                      <a:pt x="250" y="268"/>
                    </a:lnTo>
                    <a:lnTo>
                      <a:pt x="250" y="268"/>
                    </a:lnTo>
                    <a:lnTo>
                      <a:pt x="250" y="277"/>
                    </a:lnTo>
                    <a:lnTo>
                      <a:pt x="241" y="277"/>
                    </a:lnTo>
                    <a:lnTo>
                      <a:pt x="241" y="286"/>
                    </a:lnTo>
                    <a:lnTo>
                      <a:pt x="241" y="286"/>
                    </a:lnTo>
                    <a:lnTo>
                      <a:pt x="241" y="286"/>
                    </a:lnTo>
                    <a:lnTo>
                      <a:pt x="241" y="295"/>
                    </a:lnTo>
                    <a:lnTo>
                      <a:pt x="241" y="295"/>
                    </a:lnTo>
                    <a:lnTo>
                      <a:pt x="241" y="304"/>
                    </a:lnTo>
                    <a:lnTo>
                      <a:pt x="241" y="304"/>
                    </a:lnTo>
                    <a:lnTo>
                      <a:pt x="241" y="304"/>
                    </a:lnTo>
                    <a:lnTo>
                      <a:pt x="241" y="313"/>
                    </a:lnTo>
                    <a:lnTo>
                      <a:pt x="241" y="313"/>
                    </a:lnTo>
                    <a:lnTo>
                      <a:pt x="232" y="322"/>
                    </a:lnTo>
                    <a:lnTo>
                      <a:pt x="232" y="322"/>
                    </a:lnTo>
                    <a:lnTo>
                      <a:pt x="232" y="330"/>
                    </a:lnTo>
                    <a:lnTo>
                      <a:pt x="232" y="330"/>
                    </a:lnTo>
                    <a:lnTo>
                      <a:pt x="232" y="330"/>
                    </a:lnTo>
                    <a:lnTo>
                      <a:pt x="232" y="339"/>
                    </a:lnTo>
                    <a:lnTo>
                      <a:pt x="232" y="339"/>
                    </a:lnTo>
                    <a:lnTo>
                      <a:pt x="232" y="339"/>
                    </a:lnTo>
                    <a:lnTo>
                      <a:pt x="223" y="348"/>
                    </a:lnTo>
                    <a:lnTo>
                      <a:pt x="223" y="348"/>
                    </a:lnTo>
                    <a:lnTo>
                      <a:pt x="223" y="348"/>
                    </a:lnTo>
                    <a:lnTo>
                      <a:pt x="223" y="348"/>
                    </a:lnTo>
                    <a:lnTo>
                      <a:pt x="223" y="357"/>
                    </a:lnTo>
                    <a:lnTo>
                      <a:pt x="223" y="357"/>
                    </a:lnTo>
                    <a:lnTo>
                      <a:pt x="223" y="357"/>
                    </a:lnTo>
                    <a:lnTo>
                      <a:pt x="223" y="357"/>
                    </a:lnTo>
                    <a:lnTo>
                      <a:pt x="223" y="357"/>
                    </a:lnTo>
                    <a:lnTo>
                      <a:pt x="223" y="357"/>
                    </a:lnTo>
                    <a:lnTo>
                      <a:pt x="223" y="357"/>
                    </a:lnTo>
                    <a:lnTo>
                      <a:pt x="214" y="366"/>
                    </a:lnTo>
                    <a:lnTo>
                      <a:pt x="214" y="366"/>
                    </a:lnTo>
                    <a:lnTo>
                      <a:pt x="214" y="366"/>
                    </a:lnTo>
                    <a:lnTo>
                      <a:pt x="214" y="366"/>
                    </a:lnTo>
                    <a:lnTo>
                      <a:pt x="205" y="366"/>
                    </a:lnTo>
                    <a:lnTo>
                      <a:pt x="205" y="366"/>
                    </a:lnTo>
                    <a:lnTo>
                      <a:pt x="205" y="366"/>
                    </a:lnTo>
                    <a:lnTo>
                      <a:pt x="205" y="366"/>
                    </a:lnTo>
                    <a:lnTo>
                      <a:pt x="196" y="366"/>
                    </a:lnTo>
                    <a:lnTo>
                      <a:pt x="196" y="366"/>
                    </a:lnTo>
                    <a:lnTo>
                      <a:pt x="196" y="366"/>
                    </a:lnTo>
                    <a:lnTo>
                      <a:pt x="196" y="375"/>
                    </a:lnTo>
                    <a:lnTo>
                      <a:pt x="196" y="375"/>
                    </a:lnTo>
                    <a:lnTo>
                      <a:pt x="187" y="375"/>
                    </a:lnTo>
                    <a:lnTo>
                      <a:pt x="187" y="375"/>
                    </a:lnTo>
                    <a:lnTo>
                      <a:pt x="187" y="375"/>
                    </a:lnTo>
                    <a:lnTo>
                      <a:pt x="187" y="375"/>
                    </a:lnTo>
                    <a:lnTo>
                      <a:pt x="187" y="375"/>
                    </a:lnTo>
                    <a:lnTo>
                      <a:pt x="187" y="384"/>
                    </a:lnTo>
                    <a:lnTo>
                      <a:pt x="187" y="384"/>
                    </a:lnTo>
                    <a:lnTo>
                      <a:pt x="178" y="384"/>
                    </a:lnTo>
                    <a:lnTo>
                      <a:pt x="178" y="384"/>
                    </a:lnTo>
                    <a:lnTo>
                      <a:pt x="178" y="384"/>
                    </a:lnTo>
                    <a:lnTo>
                      <a:pt x="178" y="384"/>
                    </a:lnTo>
                    <a:lnTo>
                      <a:pt x="178" y="393"/>
                    </a:lnTo>
                    <a:lnTo>
                      <a:pt x="178" y="393"/>
                    </a:lnTo>
                    <a:lnTo>
                      <a:pt x="178" y="393"/>
                    </a:lnTo>
                    <a:lnTo>
                      <a:pt x="178" y="393"/>
                    </a:lnTo>
                    <a:lnTo>
                      <a:pt x="178" y="393"/>
                    </a:lnTo>
                    <a:lnTo>
                      <a:pt x="178" y="402"/>
                    </a:lnTo>
                    <a:lnTo>
                      <a:pt x="178" y="402"/>
                    </a:lnTo>
                    <a:lnTo>
                      <a:pt x="178" y="402"/>
                    </a:lnTo>
                    <a:lnTo>
                      <a:pt x="178" y="402"/>
                    </a:lnTo>
                    <a:lnTo>
                      <a:pt x="178" y="402"/>
                    </a:lnTo>
                    <a:lnTo>
                      <a:pt x="178" y="411"/>
                    </a:lnTo>
                    <a:lnTo>
                      <a:pt x="178" y="411"/>
                    </a:lnTo>
                    <a:lnTo>
                      <a:pt x="178" y="411"/>
                    </a:lnTo>
                    <a:lnTo>
                      <a:pt x="178" y="411"/>
                    </a:lnTo>
                    <a:lnTo>
                      <a:pt x="178" y="411"/>
                    </a:lnTo>
                    <a:lnTo>
                      <a:pt x="178" y="420"/>
                    </a:lnTo>
                    <a:lnTo>
                      <a:pt x="187" y="420"/>
                    </a:lnTo>
                    <a:lnTo>
                      <a:pt x="187" y="420"/>
                    </a:lnTo>
                    <a:lnTo>
                      <a:pt x="187" y="420"/>
                    </a:lnTo>
                    <a:lnTo>
                      <a:pt x="187" y="420"/>
                    </a:lnTo>
                    <a:lnTo>
                      <a:pt x="187" y="420"/>
                    </a:lnTo>
                    <a:lnTo>
                      <a:pt x="187" y="420"/>
                    </a:lnTo>
                    <a:lnTo>
                      <a:pt x="196" y="420"/>
                    </a:lnTo>
                    <a:lnTo>
                      <a:pt x="196" y="420"/>
                    </a:lnTo>
                    <a:lnTo>
                      <a:pt x="196" y="420"/>
                    </a:lnTo>
                    <a:lnTo>
                      <a:pt x="196" y="420"/>
                    </a:lnTo>
                    <a:lnTo>
                      <a:pt x="196" y="420"/>
                    </a:lnTo>
                    <a:lnTo>
                      <a:pt x="196" y="429"/>
                    </a:lnTo>
                    <a:lnTo>
                      <a:pt x="196" y="429"/>
                    </a:lnTo>
                    <a:lnTo>
                      <a:pt x="196" y="429"/>
                    </a:lnTo>
                    <a:lnTo>
                      <a:pt x="196" y="429"/>
                    </a:lnTo>
                    <a:lnTo>
                      <a:pt x="196" y="429"/>
                    </a:lnTo>
                    <a:lnTo>
                      <a:pt x="196" y="438"/>
                    </a:lnTo>
                    <a:lnTo>
                      <a:pt x="196" y="438"/>
                    </a:lnTo>
                    <a:lnTo>
                      <a:pt x="196" y="438"/>
                    </a:lnTo>
                    <a:lnTo>
                      <a:pt x="196" y="438"/>
                    </a:lnTo>
                    <a:lnTo>
                      <a:pt x="196" y="447"/>
                    </a:lnTo>
                    <a:lnTo>
                      <a:pt x="196" y="447"/>
                    </a:lnTo>
                    <a:lnTo>
                      <a:pt x="196" y="447"/>
                    </a:lnTo>
                    <a:lnTo>
                      <a:pt x="196" y="455"/>
                    </a:lnTo>
                    <a:lnTo>
                      <a:pt x="196" y="455"/>
                    </a:lnTo>
                    <a:lnTo>
                      <a:pt x="196" y="455"/>
                    </a:lnTo>
                    <a:lnTo>
                      <a:pt x="187" y="455"/>
                    </a:lnTo>
                    <a:lnTo>
                      <a:pt x="187" y="455"/>
                    </a:lnTo>
                    <a:lnTo>
                      <a:pt x="187" y="455"/>
                    </a:lnTo>
                    <a:lnTo>
                      <a:pt x="187" y="455"/>
                    </a:lnTo>
                    <a:lnTo>
                      <a:pt x="187" y="455"/>
                    </a:lnTo>
                    <a:lnTo>
                      <a:pt x="178" y="455"/>
                    </a:lnTo>
                    <a:lnTo>
                      <a:pt x="178" y="455"/>
                    </a:lnTo>
                    <a:lnTo>
                      <a:pt x="178" y="455"/>
                    </a:lnTo>
                    <a:lnTo>
                      <a:pt x="178" y="455"/>
                    </a:lnTo>
                    <a:lnTo>
                      <a:pt x="178" y="455"/>
                    </a:lnTo>
                    <a:lnTo>
                      <a:pt x="178" y="455"/>
                    </a:lnTo>
                    <a:lnTo>
                      <a:pt x="178" y="455"/>
                    </a:lnTo>
                    <a:lnTo>
                      <a:pt x="178" y="455"/>
                    </a:lnTo>
                    <a:lnTo>
                      <a:pt x="170" y="455"/>
                    </a:lnTo>
                    <a:lnTo>
                      <a:pt x="178" y="464"/>
                    </a:lnTo>
                    <a:lnTo>
                      <a:pt x="178" y="464"/>
                    </a:lnTo>
                    <a:lnTo>
                      <a:pt x="178" y="464"/>
                    </a:lnTo>
                    <a:lnTo>
                      <a:pt x="178" y="464"/>
                    </a:lnTo>
                    <a:lnTo>
                      <a:pt x="178" y="473"/>
                    </a:lnTo>
                    <a:lnTo>
                      <a:pt x="178" y="473"/>
                    </a:lnTo>
                    <a:lnTo>
                      <a:pt x="178" y="473"/>
                    </a:lnTo>
                    <a:lnTo>
                      <a:pt x="178" y="473"/>
                    </a:lnTo>
                    <a:lnTo>
                      <a:pt x="178" y="473"/>
                    </a:lnTo>
                    <a:lnTo>
                      <a:pt x="178" y="482"/>
                    </a:lnTo>
                    <a:lnTo>
                      <a:pt x="187" y="482"/>
                    </a:lnTo>
                    <a:lnTo>
                      <a:pt x="187" y="482"/>
                    </a:lnTo>
                    <a:lnTo>
                      <a:pt x="187" y="482"/>
                    </a:lnTo>
                    <a:lnTo>
                      <a:pt x="187" y="491"/>
                    </a:lnTo>
                    <a:lnTo>
                      <a:pt x="187" y="491"/>
                    </a:lnTo>
                    <a:lnTo>
                      <a:pt x="187" y="491"/>
                    </a:lnTo>
                    <a:lnTo>
                      <a:pt x="187" y="491"/>
                    </a:lnTo>
                    <a:lnTo>
                      <a:pt x="187" y="500"/>
                    </a:lnTo>
                    <a:lnTo>
                      <a:pt x="187" y="500"/>
                    </a:lnTo>
                    <a:lnTo>
                      <a:pt x="187" y="500"/>
                    </a:lnTo>
                    <a:lnTo>
                      <a:pt x="187" y="500"/>
                    </a:lnTo>
                    <a:lnTo>
                      <a:pt x="187" y="509"/>
                    </a:lnTo>
                    <a:lnTo>
                      <a:pt x="187" y="509"/>
                    </a:lnTo>
                    <a:lnTo>
                      <a:pt x="187" y="509"/>
                    </a:lnTo>
                    <a:lnTo>
                      <a:pt x="187" y="509"/>
                    </a:lnTo>
                    <a:lnTo>
                      <a:pt x="187" y="509"/>
                    </a:lnTo>
                    <a:lnTo>
                      <a:pt x="187" y="509"/>
                    </a:lnTo>
                    <a:lnTo>
                      <a:pt x="187" y="509"/>
                    </a:lnTo>
                    <a:lnTo>
                      <a:pt x="178" y="509"/>
                    </a:lnTo>
                    <a:lnTo>
                      <a:pt x="178" y="509"/>
                    </a:lnTo>
                    <a:lnTo>
                      <a:pt x="178" y="509"/>
                    </a:lnTo>
                    <a:lnTo>
                      <a:pt x="178" y="509"/>
                    </a:lnTo>
                    <a:lnTo>
                      <a:pt x="178" y="509"/>
                    </a:lnTo>
                    <a:lnTo>
                      <a:pt x="170" y="509"/>
                    </a:lnTo>
                    <a:lnTo>
                      <a:pt x="170" y="509"/>
                    </a:lnTo>
                    <a:lnTo>
                      <a:pt x="170" y="509"/>
                    </a:lnTo>
                    <a:lnTo>
                      <a:pt x="161" y="509"/>
                    </a:lnTo>
                    <a:lnTo>
                      <a:pt x="161" y="500"/>
                    </a:lnTo>
                    <a:lnTo>
                      <a:pt x="161" y="500"/>
                    </a:lnTo>
                    <a:lnTo>
                      <a:pt x="152" y="500"/>
                    </a:lnTo>
                    <a:lnTo>
                      <a:pt x="152" y="509"/>
                    </a:lnTo>
                    <a:lnTo>
                      <a:pt x="152" y="509"/>
                    </a:lnTo>
                    <a:lnTo>
                      <a:pt x="143" y="509"/>
                    </a:lnTo>
                    <a:lnTo>
                      <a:pt x="143" y="509"/>
                    </a:lnTo>
                    <a:lnTo>
                      <a:pt x="143" y="509"/>
                    </a:lnTo>
                    <a:lnTo>
                      <a:pt x="134" y="509"/>
                    </a:lnTo>
                    <a:lnTo>
                      <a:pt x="134" y="518"/>
                    </a:lnTo>
                    <a:lnTo>
                      <a:pt x="134" y="518"/>
                    </a:lnTo>
                    <a:lnTo>
                      <a:pt x="125" y="518"/>
                    </a:lnTo>
                    <a:lnTo>
                      <a:pt x="125" y="518"/>
                    </a:lnTo>
                    <a:lnTo>
                      <a:pt x="125" y="509"/>
                    </a:lnTo>
                    <a:lnTo>
                      <a:pt x="125" y="509"/>
                    </a:lnTo>
                    <a:lnTo>
                      <a:pt x="116" y="509"/>
                    </a:lnTo>
                    <a:lnTo>
                      <a:pt x="116" y="509"/>
                    </a:lnTo>
                    <a:lnTo>
                      <a:pt x="116" y="509"/>
                    </a:lnTo>
                    <a:lnTo>
                      <a:pt x="116" y="509"/>
                    </a:lnTo>
                    <a:lnTo>
                      <a:pt x="107" y="509"/>
                    </a:lnTo>
                    <a:lnTo>
                      <a:pt x="107" y="509"/>
                    </a:lnTo>
                    <a:lnTo>
                      <a:pt x="107" y="509"/>
                    </a:lnTo>
                    <a:lnTo>
                      <a:pt x="107" y="509"/>
                    </a:lnTo>
                    <a:lnTo>
                      <a:pt x="107" y="509"/>
                    </a:lnTo>
                    <a:lnTo>
                      <a:pt x="107" y="509"/>
                    </a:lnTo>
                    <a:lnTo>
                      <a:pt x="107" y="509"/>
                    </a:lnTo>
                    <a:lnTo>
                      <a:pt x="98" y="509"/>
                    </a:lnTo>
                    <a:lnTo>
                      <a:pt x="98" y="509"/>
                    </a:lnTo>
                    <a:lnTo>
                      <a:pt x="98" y="509"/>
                    </a:lnTo>
                    <a:lnTo>
                      <a:pt x="98" y="509"/>
                    </a:lnTo>
                    <a:lnTo>
                      <a:pt x="98" y="509"/>
                    </a:lnTo>
                    <a:lnTo>
                      <a:pt x="89" y="509"/>
                    </a:lnTo>
                    <a:lnTo>
                      <a:pt x="89" y="509"/>
                    </a:lnTo>
                    <a:lnTo>
                      <a:pt x="89" y="509"/>
                    </a:lnTo>
                    <a:lnTo>
                      <a:pt x="89" y="509"/>
                    </a:lnTo>
                    <a:lnTo>
                      <a:pt x="89" y="509"/>
                    </a:lnTo>
                    <a:lnTo>
                      <a:pt x="89" y="509"/>
                    </a:lnTo>
                    <a:lnTo>
                      <a:pt x="89" y="509"/>
                    </a:lnTo>
                    <a:lnTo>
                      <a:pt x="89" y="509"/>
                    </a:lnTo>
                    <a:lnTo>
                      <a:pt x="89" y="518"/>
                    </a:lnTo>
                    <a:lnTo>
                      <a:pt x="89" y="518"/>
                    </a:lnTo>
                    <a:lnTo>
                      <a:pt x="80" y="518"/>
                    </a:lnTo>
                    <a:lnTo>
                      <a:pt x="80" y="518"/>
                    </a:lnTo>
                    <a:lnTo>
                      <a:pt x="80" y="518"/>
                    </a:lnTo>
                    <a:lnTo>
                      <a:pt x="80" y="518"/>
                    </a:lnTo>
                    <a:lnTo>
                      <a:pt x="80" y="518"/>
                    </a:lnTo>
                    <a:lnTo>
                      <a:pt x="80" y="518"/>
                    </a:lnTo>
                    <a:lnTo>
                      <a:pt x="80" y="518"/>
                    </a:lnTo>
                    <a:lnTo>
                      <a:pt x="80" y="518"/>
                    </a:lnTo>
                    <a:lnTo>
                      <a:pt x="80" y="518"/>
                    </a:lnTo>
                    <a:lnTo>
                      <a:pt x="80" y="518"/>
                    </a:lnTo>
                    <a:lnTo>
                      <a:pt x="71" y="518"/>
                    </a:lnTo>
                    <a:lnTo>
                      <a:pt x="71" y="518"/>
                    </a:lnTo>
                    <a:lnTo>
                      <a:pt x="71" y="518"/>
                    </a:lnTo>
                    <a:lnTo>
                      <a:pt x="71" y="518"/>
                    </a:lnTo>
                    <a:lnTo>
                      <a:pt x="71" y="518"/>
                    </a:lnTo>
                    <a:lnTo>
                      <a:pt x="62" y="518"/>
                    </a:lnTo>
                    <a:lnTo>
                      <a:pt x="62" y="518"/>
                    </a:lnTo>
                    <a:lnTo>
                      <a:pt x="62" y="518"/>
                    </a:lnTo>
                    <a:lnTo>
                      <a:pt x="62" y="518"/>
                    </a:lnTo>
                    <a:lnTo>
                      <a:pt x="62" y="518"/>
                    </a:lnTo>
                    <a:lnTo>
                      <a:pt x="62" y="518"/>
                    </a:lnTo>
                    <a:lnTo>
                      <a:pt x="62" y="518"/>
                    </a:lnTo>
                    <a:lnTo>
                      <a:pt x="53" y="518"/>
                    </a:lnTo>
                    <a:lnTo>
                      <a:pt x="53" y="518"/>
                    </a:lnTo>
                    <a:lnTo>
                      <a:pt x="53" y="527"/>
                    </a:lnTo>
                    <a:lnTo>
                      <a:pt x="53" y="527"/>
                    </a:lnTo>
                    <a:lnTo>
                      <a:pt x="53" y="527"/>
                    </a:lnTo>
                    <a:lnTo>
                      <a:pt x="53" y="527"/>
                    </a:lnTo>
                    <a:lnTo>
                      <a:pt x="53" y="527"/>
                    </a:lnTo>
                    <a:lnTo>
                      <a:pt x="53" y="536"/>
                    </a:lnTo>
                    <a:lnTo>
                      <a:pt x="53" y="536"/>
                    </a:lnTo>
                    <a:lnTo>
                      <a:pt x="53" y="536"/>
                    </a:lnTo>
                    <a:lnTo>
                      <a:pt x="53" y="545"/>
                    </a:lnTo>
                    <a:lnTo>
                      <a:pt x="53" y="545"/>
                    </a:lnTo>
                    <a:lnTo>
                      <a:pt x="53" y="545"/>
                    </a:lnTo>
                    <a:lnTo>
                      <a:pt x="53" y="545"/>
                    </a:lnTo>
                    <a:lnTo>
                      <a:pt x="45" y="554"/>
                    </a:lnTo>
                    <a:lnTo>
                      <a:pt x="45" y="554"/>
                    </a:lnTo>
                    <a:lnTo>
                      <a:pt x="45" y="554"/>
                    </a:lnTo>
                    <a:lnTo>
                      <a:pt x="45" y="554"/>
                    </a:lnTo>
                    <a:lnTo>
                      <a:pt x="45" y="563"/>
                    </a:lnTo>
                    <a:lnTo>
                      <a:pt x="45" y="563"/>
                    </a:lnTo>
                    <a:lnTo>
                      <a:pt x="45" y="563"/>
                    </a:lnTo>
                    <a:lnTo>
                      <a:pt x="45" y="563"/>
                    </a:lnTo>
                    <a:lnTo>
                      <a:pt x="45" y="563"/>
                    </a:lnTo>
                    <a:lnTo>
                      <a:pt x="45" y="563"/>
                    </a:lnTo>
                    <a:lnTo>
                      <a:pt x="36" y="572"/>
                    </a:lnTo>
                    <a:lnTo>
                      <a:pt x="36" y="572"/>
                    </a:lnTo>
                    <a:lnTo>
                      <a:pt x="36" y="572"/>
                    </a:lnTo>
                    <a:lnTo>
                      <a:pt x="36" y="572"/>
                    </a:lnTo>
                    <a:lnTo>
                      <a:pt x="36" y="572"/>
                    </a:lnTo>
                    <a:lnTo>
                      <a:pt x="27" y="572"/>
                    </a:lnTo>
                    <a:lnTo>
                      <a:pt x="27" y="572"/>
                    </a:lnTo>
                    <a:lnTo>
                      <a:pt x="27" y="572"/>
                    </a:lnTo>
                    <a:lnTo>
                      <a:pt x="27" y="572"/>
                    </a:lnTo>
                    <a:lnTo>
                      <a:pt x="18" y="580"/>
                    </a:lnTo>
                    <a:lnTo>
                      <a:pt x="18" y="580"/>
                    </a:lnTo>
                    <a:lnTo>
                      <a:pt x="18" y="580"/>
                    </a:lnTo>
                    <a:lnTo>
                      <a:pt x="18" y="580"/>
                    </a:lnTo>
                    <a:lnTo>
                      <a:pt x="9" y="580"/>
                    </a:lnTo>
                    <a:lnTo>
                      <a:pt x="9" y="580"/>
                    </a:lnTo>
                    <a:lnTo>
                      <a:pt x="9" y="580"/>
                    </a:lnTo>
                    <a:lnTo>
                      <a:pt x="9" y="580"/>
                    </a:lnTo>
                    <a:lnTo>
                      <a:pt x="9" y="580"/>
                    </a:lnTo>
                    <a:lnTo>
                      <a:pt x="9" y="580"/>
                    </a:lnTo>
                    <a:lnTo>
                      <a:pt x="9" y="580"/>
                    </a:lnTo>
                    <a:lnTo>
                      <a:pt x="9" y="580"/>
                    </a:lnTo>
                    <a:lnTo>
                      <a:pt x="9" y="589"/>
                    </a:lnTo>
                    <a:lnTo>
                      <a:pt x="9" y="589"/>
                    </a:lnTo>
                    <a:lnTo>
                      <a:pt x="9" y="589"/>
                    </a:lnTo>
                    <a:lnTo>
                      <a:pt x="9" y="589"/>
                    </a:lnTo>
                    <a:lnTo>
                      <a:pt x="0" y="598"/>
                    </a:lnTo>
                    <a:lnTo>
                      <a:pt x="0" y="598"/>
                    </a:lnTo>
                    <a:lnTo>
                      <a:pt x="0" y="598"/>
                    </a:lnTo>
                    <a:lnTo>
                      <a:pt x="0" y="598"/>
                    </a:lnTo>
                    <a:lnTo>
                      <a:pt x="0" y="607"/>
                    </a:lnTo>
                    <a:lnTo>
                      <a:pt x="0" y="607"/>
                    </a:lnTo>
                    <a:lnTo>
                      <a:pt x="0" y="607"/>
                    </a:lnTo>
                    <a:lnTo>
                      <a:pt x="0" y="607"/>
                    </a:lnTo>
                    <a:lnTo>
                      <a:pt x="0" y="616"/>
                    </a:lnTo>
                    <a:lnTo>
                      <a:pt x="0" y="616"/>
                    </a:lnTo>
                    <a:lnTo>
                      <a:pt x="0" y="616"/>
                    </a:lnTo>
                    <a:lnTo>
                      <a:pt x="0" y="625"/>
                    </a:lnTo>
                    <a:lnTo>
                      <a:pt x="0" y="625"/>
                    </a:lnTo>
                    <a:lnTo>
                      <a:pt x="0" y="625"/>
                    </a:lnTo>
                    <a:lnTo>
                      <a:pt x="0" y="625"/>
                    </a:lnTo>
                    <a:lnTo>
                      <a:pt x="0" y="634"/>
                    </a:lnTo>
                    <a:lnTo>
                      <a:pt x="0" y="634"/>
                    </a:lnTo>
                    <a:lnTo>
                      <a:pt x="0" y="634"/>
                    </a:lnTo>
                    <a:lnTo>
                      <a:pt x="0" y="634"/>
                    </a:lnTo>
                    <a:lnTo>
                      <a:pt x="0" y="634"/>
                    </a:lnTo>
                    <a:lnTo>
                      <a:pt x="0" y="643"/>
                    </a:lnTo>
                    <a:lnTo>
                      <a:pt x="0" y="643"/>
                    </a:lnTo>
                    <a:lnTo>
                      <a:pt x="0" y="643"/>
                    </a:lnTo>
                    <a:lnTo>
                      <a:pt x="0" y="643"/>
                    </a:lnTo>
                    <a:lnTo>
                      <a:pt x="0" y="643"/>
                    </a:lnTo>
                    <a:lnTo>
                      <a:pt x="9" y="643"/>
                    </a:lnTo>
                    <a:lnTo>
                      <a:pt x="9" y="643"/>
                    </a:lnTo>
                    <a:lnTo>
                      <a:pt x="9" y="652"/>
                    </a:lnTo>
                    <a:lnTo>
                      <a:pt x="9" y="652"/>
                    </a:lnTo>
                    <a:lnTo>
                      <a:pt x="9" y="652"/>
                    </a:lnTo>
                    <a:lnTo>
                      <a:pt x="18" y="652"/>
                    </a:lnTo>
                    <a:lnTo>
                      <a:pt x="18" y="661"/>
                    </a:lnTo>
                    <a:lnTo>
                      <a:pt x="18" y="661"/>
                    </a:lnTo>
                    <a:lnTo>
                      <a:pt x="18" y="661"/>
                    </a:lnTo>
                    <a:lnTo>
                      <a:pt x="18" y="661"/>
                    </a:lnTo>
                    <a:lnTo>
                      <a:pt x="18" y="661"/>
                    </a:lnTo>
                    <a:lnTo>
                      <a:pt x="27" y="661"/>
                    </a:lnTo>
                    <a:lnTo>
                      <a:pt x="27" y="661"/>
                    </a:lnTo>
                    <a:lnTo>
                      <a:pt x="27" y="670"/>
                    </a:lnTo>
                    <a:lnTo>
                      <a:pt x="27" y="670"/>
                    </a:lnTo>
                    <a:lnTo>
                      <a:pt x="36" y="670"/>
                    </a:lnTo>
                    <a:lnTo>
                      <a:pt x="36" y="670"/>
                    </a:lnTo>
                    <a:lnTo>
                      <a:pt x="36" y="670"/>
                    </a:lnTo>
                    <a:lnTo>
                      <a:pt x="36" y="670"/>
                    </a:lnTo>
                    <a:lnTo>
                      <a:pt x="36" y="670"/>
                    </a:lnTo>
                    <a:lnTo>
                      <a:pt x="36" y="670"/>
                    </a:lnTo>
                    <a:lnTo>
                      <a:pt x="36" y="670"/>
                    </a:lnTo>
                    <a:lnTo>
                      <a:pt x="45" y="670"/>
                    </a:lnTo>
                    <a:lnTo>
                      <a:pt x="45" y="670"/>
                    </a:lnTo>
                    <a:lnTo>
                      <a:pt x="45" y="670"/>
                    </a:lnTo>
                    <a:lnTo>
                      <a:pt x="45" y="670"/>
                    </a:lnTo>
                    <a:lnTo>
                      <a:pt x="45" y="670"/>
                    </a:lnTo>
                    <a:lnTo>
                      <a:pt x="45" y="670"/>
                    </a:lnTo>
                    <a:lnTo>
                      <a:pt x="45" y="670"/>
                    </a:lnTo>
                    <a:lnTo>
                      <a:pt x="45" y="670"/>
                    </a:lnTo>
                    <a:lnTo>
                      <a:pt x="45" y="670"/>
                    </a:lnTo>
                    <a:lnTo>
                      <a:pt x="45" y="670"/>
                    </a:lnTo>
                    <a:lnTo>
                      <a:pt x="45" y="679"/>
                    </a:lnTo>
                    <a:lnTo>
                      <a:pt x="45" y="679"/>
                    </a:lnTo>
                    <a:lnTo>
                      <a:pt x="45" y="679"/>
                    </a:lnTo>
                    <a:lnTo>
                      <a:pt x="45" y="679"/>
                    </a:lnTo>
                    <a:lnTo>
                      <a:pt x="36" y="679"/>
                    </a:lnTo>
                    <a:lnTo>
                      <a:pt x="36" y="679"/>
                    </a:lnTo>
                    <a:lnTo>
                      <a:pt x="36" y="688"/>
                    </a:lnTo>
                    <a:lnTo>
                      <a:pt x="36" y="688"/>
                    </a:lnTo>
                    <a:lnTo>
                      <a:pt x="36" y="688"/>
                    </a:lnTo>
                    <a:lnTo>
                      <a:pt x="36" y="688"/>
                    </a:lnTo>
                    <a:lnTo>
                      <a:pt x="36" y="688"/>
                    </a:lnTo>
                    <a:lnTo>
                      <a:pt x="36" y="688"/>
                    </a:lnTo>
                    <a:lnTo>
                      <a:pt x="36" y="697"/>
                    </a:lnTo>
                    <a:lnTo>
                      <a:pt x="36" y="697"/>
                    </a:lnTo>
                    <a:lnTo>
                      <a:pt x="36" y="697"/>
                    </a:lnTo>
                    <a:lnTo>
                      <a:pt x="36" y="697"/>
                    </a:lnTo>
                    <a:lnTo>
                      <a:pt x="36" y="697"/>
                    </a:lnTo>
                    <a:lnTo>
                      <a:pt x="36" y="697"/>
                    </a:lnTo>
                    <a:lnTo>
                      <a:pt x="36" y="697"/>
                    </a:lnTo>
                    <a:lnTo>
                      <a:pt x="36" y="706"/>
                    </a:lnTo>
                    <a:lnTo>
                      <a:pt x="36" y="706"/>
                    </a:lnTo>
                    <a:lnTo>
                      <a:pt x="36" y="706"/>
                    </a:lnTo>
                    <a:lnTo>
                      <a:pt x="45" y="706"/>
                    </a:lnTo>
                    <a:lnTo>
                      <a:pt x="45" y="706"/>
                    </a:lnTo>
                    <a:lnTo>
                      <a:pt x="45" y="706"/>
                    </a:lnTo>
                    <a:lnTo>
                      <a:pt x="45" y="714"/>
                    </a:lnTo>
                    <a:lnTo>
                      <a:pt x="45" y="714"/>
                    </a:lnTo>
                    <a:lnTo>
                      <a:pt x="45" y="714"/>
                    </a:lnTo>
                    <a:lnTo>
                      <a:pt x="45" y="714"/>
                    </a:lnTo>
                    <a:lnTo>
                      <a:pt x="45" y="714"/>
                    </a:lnTo>
                    <a:lnTo>
                      <a:pt x="53" y="714"/>
                    </a:lnTo>
                    <a:lnTo>
                      <a:pt x="53" y="714"/>
                    </a:lnTo>
                    <a:lnTo>
                      <a:pt x="53" y="714"/>
                    </a:lnTo>
                    <a:lnTo>
                      <a:pt x="53" y="714"/>
                    </a:lnTo>
                    <a:lnTo>
                      <a:pt x="53" y="714"/>
                    </a:lnTo>
                    <a:lnTo>
                      <a:pt x="62" y="714"/>
                    </a:lnTo>
                    <a:lnTo>
                      <a:pt x="62" y="714"/>
                    </a:lnTo>
                    <a:lnTo>
                      <a:pt x="62" y="714"/>
                    </a:lnTo>
                    <a:lnTo>
                      <a:pt x="62" y="714"/>
                    </a:lnTo>
                    <a:lnTo>
                      <a:pt x="62" y="714"/>
                    </a:lnTo>
                    <a:lnTo>
                      <a:pt x="71" y="714"/>
                    </a:lnTo>
                    <a:lnTo>
                      <a:pt x="71" y="714"/>
                    </a:lnTo>
                    <a:lnTo>
                      <a:pt x="71" y="714"/>
                    </a:lnTo>
                    <a:lnTo>
                      <a:pt x="71" y="714"/>
                    </a:lnTo>
                    <a:lnTo>
                      <a:pt x="80" y="714"/>
                    </a:lnTo>
                    <a:lnTo>
                      <a:pt x="80" y="714"/>
                    </a:lnTo>
                    <a:lnTo>
                      <a:pt x="80" y="714"/>
                    </a:lnTo>
                    <a:lnTo>
                      <a:pt x="80" y="714"/>
                    </a:lnTo>
                    <a:lnTo>
                      <a:pt x="89" y="714"/>
                    </a:lnTo>
                    <a:lnTo>
                      <a:pt x="89" y="723"/>
                    </a:lnTo>
                    <a:lnTo>
                      <a:pt x="89" y="723"/>
                    </a:lnTo>
                    <a:lnTo>
                      <a:pt x="89" y="723"/>
                    </a:lnTo>
                    <a:lnTo>
                      <a:pt x="98" y="723"/>
                    </a:lnTo>
                    <a:lnTo>
                      <a:pt x="98" y="723"/>
                    </a:lnTo>
                    <a:lnTo>
                      <a:pt x="98" y="723"/>
                    </a:lnTo>
                    <a:lnTo>
                      <a:pt x="107" y="723"/>
                    </a:lnTo>
                    <a:lnTo>
                      <a:pt x="107" y="723"/>
                    </a:lnTo>
                    <a:lnTo>
                      <a:pt x="107" y="723"/>
                    </a:lnTo>
                    <a:lnTo>
                      <a:pt x="116" y="723"/>
                    </a:lnTo>
                    <a:lnTo>
                      <a:pt x="116" y="723"/>
                    </a:lnTo>
                    <a:lnTo>
                      <a:pt x="116" y="723"/>
                    </a:lnTo>
                    <a:lnTo>
                      <a:pt x="125" y="723"/>
                    </a:lnTo>
                    <a:lnTo>
                      <a:pt x="125" y="723"/>
                    </a:lnTo>
                    <a:lnTo>
                      <a:pt x="125" y="732"/>
                    </a:lnTo>
                    <a:lnTo>
                      <a:pt x="125" y="732"/>
                    </a:lnTo>
                    <a:lnTo>
                      <a:pt x="134" y="732"/>
                    </a:lnTo>
                    <a:lnTo>
                      <a:pt x="134" y="732"/>
                    </a:lnTo>
                    <a:lnTo>
                      <a:pt x="134" y="732"/>
                    </a:lnTo>
                    <a:lnTo>
                      <a:pt x="143" y="732"/>
                    </a:lnTo>
                    <a:lnTo>
                      <a:pt x="143" y="732"/>
                    </a:lnTo>
                    <a:lnTo>
                      <a:pt x="143" y="732"/>
                    </a:lnTo>
                    <a:lnTo>
                      <a:pt x="152" y="732"/>
                    </a:lnTo>
                    <a:lnTo>
                      <a:pt x="152" y="732"/>
                    </a:lnTo>
                    <a:lnTo>
                      <a:pt x="152" y="732"/>
                    </a:lnTo>
                    <a:lnTo>
                      <a:pt x="161" y="732"/>
                    </a:lnTo>
                    <a:lnTo>
                      <a:pt x="161" y="732"/>
                    </a:lnTo>
                    <a:lnTo>
                      <a:pt x="161" y="732"/>
                    </a:lnTo>
                    <a:lnTo>
                      <a:pt x="170" y="732"/>
                    </a:lnTo>
                    <a:lnTo>
                      <a:pt x="170" y="732"/>
                    </a:lnTo>
                    <a:lnTo>
                      <a:pt x="178" y="732"/>
                    </a:lnTo>
                    <a:lnTo>
                      <a:pt x="178" y="732"/>
                    </a:lnTo>
                    <a:lnTo>
                      <a:pt x="178" y="732"/>
                    </a:lnTo>
                    <a:lnTo>
                      <a:pt x="187" y="732"/>
                    </a:lnTo>
                    <a:lnTo>
                      <a:pt x="187" y="732"/>
                    </a:lnTo>
                    <a:lnTo>
                      <a:pt x="187" y="732"/>
                    </a:lnTo>
                    <a:lnTo>
                      <a:pt x="196" y="732"/>
                    </a:lnTo>
                    <a:lnTo>
                      <a:pt x="196" y="732"/>
                    </a:lnTo>
                    <a:lnTo>
                      <a:pt x="196" y="732"/>
                    </a:lnTo>
                    <a:lnTo>
                      <a:pt x="205" y="732"/>
                    </a:lnTo>
                    <a:lnTo>
                      <a:pt x="205" y="732"/>
                    </a:lnTo>
                    <a:lnTo>
                      <a:pt x="205" y="732"/>
                    </a:lnTo>
                    <a:lnTo>
                      <a:pt x="205" y="732"/>
                    </a:lnTo>
                    <a:lnTo>
                      <a:pt x="214" y="732"/>
                    </a:lnTo>
                    <a:lnTo>
                      <a:pt x="214" y="732"/>
                    </a:lnTo>
                    <a:lnTo>
                      <a:pt x="214" y="732"/>
                    </a:lnTo>
                    <a:lnTo>
                      <a:pt x="223" y="732"/>
                    </a:lnTo>
                    <a:lnTo>
                      <a:pt x="223" y="732"/>
                    </a:lnTo>
                    <a:lnTo>
                      <a:pt x="223" y="732"/>
                    </a:lnTo>
                    <a:lnTo>
                      <a:pt x="223" y="732"/>
                    </a:lnTo>
                    <a:lnTo>
                      <a:pt x="232" y="732"/>
                    </a:lnTo>
                    <a:lnTo>
                      <a:pt x="232" y="723"/>
                    </a:lnTo>
                    <a:lnTo>
                      <a:pt x="232" y="723"/>
                    </a:lnTo>
                    <a:lnTo>
                      <a:pt x="241" y="723"/>
                    </a:lnTo>
                    <a:lnTo>
                      <a:pt x="241" y="723"/>
                    </a:lnTo>
                    <a:lnTo>
                      <a:pt x="241" y="723"/>
                    </a:lnTo>
                    <a:lnTo>
                      <a:pt x="250" y="723"/>
                    </a:lnTo>
                    <a:lnTo>
                      <a:pt x="250" y="714"/>
                    </a:lnTo>
                    <a:lnTo>
                      <a:pt x="259" y="714"/>
                    </a:lnTo>
                    <a:lnTo>
                      <a:pt x="259" y="714"/>
                    </a:lnTo>
                    <a:lnTo>
                      <a:pt x="259" y="714"/>
                    </a:lnTo>
                    <a:lnTo>
                      <a:pt x="268" y="706"/>
                    </a:lnTo>
                    <a:lnTo>
                      <a:pt x="268" y="706"/>
                    </a:lnTo>
                    <a:lnTo>
                      <a:pt x="277" y="706"/>
                    </a:lnTo>
                    <a:lnTo>
                      <a:pt x="277" y="697"/>
                    </a:lnTo>
                    <a:lnTo>
                      <a:pt x="286" y="697"/>
                    </a:lnTo>
                    <a:lnTo>
                      <a:pt x="286" y="697"/>
                    </a:lnTo>
                    <a:lnTo>
                      <a:pt x="286" y="697"/>
                    </a:lnTo>
                    <a:lnTo>
                      <a:pt x="295" y="697"/>
                    </a:lnTo>
                    <a:lnTo>
                      <a:pt x="295" y="697"/>
                    </a:lnTo>
                    <a:lnTo>
                      <a:pt x="295" y="697"/>
                    </a:lnTo>
                    <a:lnTo>
                      <a:pt x="295" y="688"/>
                    </a:lnTo>
                    <a:lnTo>
                      <a:pt x="304" y="688"/>
                    </a:lnTo>
                    <a:lnTo>
                      <a:pt x="304" y="688"/>
                    </a:lnTo>
                    <a:lnTo>
                      <a:pt x="304" y="688"/>
                    </a:lnTo>
                    <a:lnTo>
                      <a:pt x="304" y="688"/>
                    </a:lnTo>
                    <a:lnTo>
                      <a:pt x="304" y="688"/>
                    </a:lnTo>
                    <a:lnTo>
                      <a:pt x="304" y="679"/>
                    </a:lnTo>
                    <a:lnTo>
                      <a:pt x="304" y="679"/>
                    </a:lnTo>
                    <a:lnTo>
                      <a:pt x="304" y="679"/>
                    </a:lnTo>
                    <a:lnTo>
                      <a:pt x="312" y="679"/>
                    </a:lnTo>
                    <a:lnTo>
                      <a:pt x="312" y="679"/>
                    </a:lnTo>
                    <a:lnTo>
                      <a:pt x="312" y="679"/>
                    </a:lnTo>
                    <a:lnTo>
                      <a:pt x="312" y="670"/>
                    </a:lnTo>
                    <a:lnTo>
                      <a:pt x="312" y="670"/>
                    </a:lnTo>
                    <a:lnTo>
                      <a:pt x="312" y="670"/>
                    </a:lnTo>
                    <a:lnTo>
                      <a:pt x="312" y="670"/>
                    </a:lnTo>
                    <a:lnTo>
                      <a:pt x="312" y="670"/>
                    </a:lnTo>
                    <a:lnTo>
                      <a:pt x="312" y="670"/>
                    </a:lnTo>
                    <a:lnTo>
                      <a:pt x="312" y="670"/>
                    </a:lnTo>
                    <a:lnTo>
                      <a:pt x="321" y="670"/>
                    </a:lnTo>
                    <a:lnTo>
                      <a:pt x="321" y="670"/>
                    </a:lnTo>
                    <a:lnTo>
                      <a:pt x="321" y="670"/>
                    </a:lnTo>
                    <a:lnTo>
                      <a:pt x="321" y="670"/>
                    </a:lnTo>
                    <a:lnTo>
                      <a:pt x="330" y="670"/>
                    </a:lnTo>
                    <a:lnTo>
                      <a:pt x="330" y="670"/>
                    </a:lnTo>
                    <a:lnTo>
                      <a:pt x="330" y="670"/>
                    </a:lnTo>
                    <a:lnTo>
                      <a:pt x="330" y="670"/>
                    </a:lnTo>
                    <a:lnTo>
                      <a:pt x="330" y="670"/>
                    </a:lnTo>
                    <a:lnTo>
                      <a:pt x="330" y="661"/>
                    </a:lnTo>
                    <a:lnTo>
                      <a:pt x="330" y="661"/>
                    </a:lnTo>
                    <a:lnTo>
                      <a:pt x="330" y="661"/>
                    </a:lnTo>
                    <a:lnTo>
                      <a:pt x="330" y="652"/>
                    </a:lnTo>
                    <a:lnTo>
                      <a:pt x="330" y="652"/>
                    </a:lnTo>
                    <a:lnTo>
                      <a:pt x="330" y="652"/>
                    </a:lnTo>
                    <a:lnTo>
                      <a:pt x="330" y="643"/>
                    </a:lnTo>
                    <a:lnTo>
                      <a:pt x="330" y="643"/>
                    </a:lnTo>
                    <a:lnTo>
                      <a:pt x="330" y="643"/>
                    </a:lnTo>
                    <a:lnTo>
                      <a:pt x="330" y="634"/>
                    </a:lnTo>
                    <a:lnTo>
                      <a:pt x="330" y="634"/>
                    </a:lnTo>
                    <a:lnTo>
                      <a:pt x="330" y="634"/>
                    </a:lnTo>
                    <a:lnTo>
                      <a:pt x="330" y="625"/>
                    </a:lnTo>
                    <a:lnTo>
                      <a:pt x="330" y="625"/>
                    </a:lnTo>
                    <a:lnTo>
                      <a:pt x="339" y="625"/>
                    </a:lnTo>
                    <a:lnTo>
                      <a:pt x="339" y="625"/>
                    </a:lnTo>
                    <a:lnTo>
                      <a:pt x="339" y="625"/>
                    </a:lnTo>
                    <a:lnTo>
                      <a:pt x="339" y="616"/>
                    </a:lnTo>
                    <a:lnTo>
                      <a:pt x="339" y="616"/>
                    </a:lnTo>
                    <a:lnTo>
                      <a:pt x="339" y="616"/>
                    </a:lnTo>
                    <a:lnTo>
                      <a:pt x="339" y="616"/>
                    </a:lnTo>
                    <a:lnTo>
                      <a:pt x="348" y="616"/>
                    </a:lnTo>
                    <a:lnTo>
                      <a:pt x="348" y="616"/>
                    </a:lnTo>
                    <a:lnTo>
                      <a:pt x="348" y="607"/>
                    </a:lnTo>
                    <a:lnTo>
                      <a:pt x="348" y="607"/>
                    </a:lnTo>
                    <a:lnTo>
                      <a:pt x="348" y="607"/>
                    </a:lnTo>
                    <a:lnTo>
                      <a:pt x="357" y="607"/>
                    </a:lnTo>
                    <a:lnTo>
                      <a:pt x="357" y="607"/>
                    </a:lnTo>
                    <a:lnTo>
                      <a:pt x="357" y="607"/>
                    </a:lnTo>
                    <a:lnTo>
                      <a:pt x="357" y="607"/>
                    </a:lnTo>
                    <a:lnTo>
                      <a:pt x="357" y="607"/>
                    </a:lnTo>
                    <a:lnTo>
                      <a:pt x="357" y="607"/>
                    </a:lnTo>
                    <a:lnTo>
                      <a:pt x="366" y="607"/>
                    </a:lnTo>
                    <a:lnTo>
                      <a:pt x="366" y="607"/>
                    </a:lnTo>
                    <a:lnTo>
                      <a:pt x="366" y="607"/>
                    </a:lnTo>
                    <a:lnTo>
                      <a:pt x="366" y="607"/>
                    </a:lnTo>
                    <a:lnTo>
                      <a:pt x="366" y="607"/>
                    </a:lnTo>
                    <a:lnTo>
                      <a:pt x="366" y="607"/>
                    </a:lnTo>
                    <a:lnTo>
                      <a:pt x="366" y="607"/>
                    </a:lnTo>
                    <a:lnTo>
                      <a:pt x="366" y="607"/>
                    </a:lnTo>
                    <a:lnTo>
                      <a:pt x="366" y="607"/>
                    </a:lnTo>
                    <a:lnTo>
                      <a:pt x="366" y="598"/>
                    </a:lnTo>
                    <a:lnTo>
                      <a:pt x="366" y="598"/>
                    </a:lnTo>
                    <a:lnTo>
                      <a:pt x="366" y="598"/>
                    </a:lnTo>
                    <a:lnTo>
                      <a:pt x="366" y="598"/>
                    </a:lnTo>
                    <a:lnTo>
                      <a:pt x="366" y="598"/>
                    </a:lnTo>
                    <a:lnTo>
                      <a:pt x="366" y="598"/>
                    </a:lnTo>
                    <a:lnTo>
                      <a:pt x="366" y="589"/>
                    </a:lnTo>
                    <a:lnTo>
                      <a:pt x="366" y="589"/>
                    </a:lnTo>
                    <a:lnTo>
                      <a:pt x="366" y="589"/>
                    </a:lnTo>
                    <a:lnTo>
                      <a:pt x="366" y="589"/>
                    </a:lnTo>
                    <a:lnTo>
                      <a:pt x="366" y="589"/>
                    </a:lnTo>
                    <a:lnTo>
                      <a:pt x="366" y="580"/>
                    </a:lnTo>
                    <a:lnTo>
                      <a:pt x="366" y="580"/>
                    </a:lnTo>
                    <a:lnTo>
                      <a:pt x="375" y="580"/>
                    </a:lnTo>
                    <a:lnTo>
                      <a:pt x="375" y="580"/>
                    </a:lnTo>
                    <a:lnTo>
                      <a:pt x="375" y="580"/>
                    </a:lnTo>
                    <a:lnTo>
                      <a:pt x="375" y="580"/>
                    </a:lnTo>
                    <a:lnTo>
                      <a:pt x="375" y="580"/>
                    </a:lnTo>
                    <a:lnTo>
                      <a:pt x="375" y="580"/>
                    </a:lnTo>
                    <a:lnTo>
                      <a:pt x="375" y="580"/>
                    </a:lnTo>
                    <a:lnTo>
                      <a:pt x="384" y="580"/>
                    </a:lnTo>
                    <a:lnTo>
                      <a:pt x="384" y="572"/>
                    </a:lnTo>
                    <a:lnTo>
                      <a:pt x="384" y="572"/>
                    </a:lnTo>
                    <a:lnTo>
                      <a:pt x="384" y="572"/>
                    </a:lnTo>
                    <a:lnTo>
                      <a:pt x="384" y="572"/>
                    </a:lnTo>
                    <a:lnTo>
                      <a:pt x="393" y="572"/>
                    </a:lnTo>
                    <a:lnTo>
                      <a:pt x="393" y="572"/>
                    </a:lnTo>
                    <a:lnTo>
                      <a:pt x="393" y="572"/>
                    </a:lnTo>
                    <a:lnTo>
                      <a:pt x="393" y="572"/>
                    </a:lnTo>
                    <a:lnTo>
                      <a:pt x="393" y="572"/>
                    </a:lnTo>
                    <a:lnTo>
                      <a:pt x="402" y="572"/>
                    </a:lnTo>
                    <a:lnTo>
                      <a:pt x="402" y="572"/>
                    </a:lnTo>
                    <a:lnTo>
                      <a:pt x="402" y="572"/>
                    </a:lnTo>
                    <a:lnTo>
                      <a:pt x="402" y="580"/>
                    </a:lnTo>
                    <a:lnTo>
                      <a:pt x="402" y="580"/>
                    </a:lnTo>
                    <a:lnTo>
                      <a:pt x="411" y="580"/>
                    </a:lnTo>
                    <a:lnTo>
                      <a:pt x="411" y="580"/>
                    </a:lnTo>
                    <a:lnTo>
                      <a:pt x="411" y="580"/>
                    </a:lnTo>
                    <a:lnTo>
                      <a:pt x="411" y="580"/>
                    </a:lnTo>
                    <a:lnTo>
                      <a:pt x="411" y="580"/>
                    </a:lnTo>
                    <a:lnTo>
                      <a:pt x="411" y="580"/>
                    </a:lnTo>
                    <a:lnTo>
                      <a:pt x="411" y="580"/>
                    </a:lnTo>
                    <a:lnTo>
                      <a:pt x="420" y="580"/>
                    </a:lnTo>
                    <a:lnTo>
                      <a:pt x="420" y="580"/>
                    </a:lnTo>
                    <a:lnTo>
                      <a:pt x="420" y="580"/>
                    </a:lnTo>
                    <a:lnTo>
                      <a:pt x="420" y="589"/>
                    </a:lnTo>
                    <a:lnTo>
                      <a:pt x="420" y="589"/>
                    </a:lnTo>
                    <a:lnTo>
                      <a:pt x="420" y="589"/>
                    </a:lnTo>
                    <a:lnTo>
                      <a:pt x="420" y="589"/>
                    </a:lnTo>
                    <a:lnTo>
                      <a:pt x="420" y="589"/>
                    </a:lnTo>
                    <a:lnTo>
                      <a:pt x="420" y="589"/>
                    </a:lnTo>
                    <a:lnTo>
                      <a:pt x="420" y="589"/>
                    </a:lnTo>
                    <a:lnTo>
                      <a:pt x="420" y="589"/>
                    </a:lnTo>
                    <a:lnTo>
                      <a:pt x="420" y="589"/>
                    </a:lnTo>
                    <a:lnTo>
                      <a:pt x="420" y="589"/>
                    </a:lnTo>
                    <a:lnTo>
                      <a:pt x="420" y="589"/>
                    </a:lnTo>
                    <a:lnTo>
                      <a:pt x="420" y="598"/>
                    </a:lnTo>
                    <a:lnTo>
                      <a:pt x="420" y="598"/>
                    </a:lnTo>
                    <a:lnTo>
                      <a:pt x="420" y="598"/>
                    </a:lnTo>
                    <a:lnTo>
                      <a:pt x="420" y="598"/>
                    </a:lnTo>
                    <a:lnTo>
                      <a:pt x="420" y="598"/>
                    </a:lnTo>
                    <a:lnTo>
                      <a:pt x="420" y="598"/>
                    </a:lnTo>
                    <a:lnTo>
                      <a:pt x="420" y="598"/>
                    </a:lnTo>
                    <a:lnTo>
                      <a:pt x="420" y="598"/>
                    </a:lnTo>
                    <a:lnTo>
                      <a:pt x="420" y="607"/>
                    </a:lnTo>
                    <a:lnTo>
                      <a:pt x="420" y="607"/>
                    </a:lnTo>
                    <a:lnTo>
                      <a:pt x="420" y="607"/>
                    </a:lnTo>
                    <a:lnTo>
                      <a:pt x="420" y="607"/>
                    </a:lnTo>
                    <a:lnTo>
                      <a:pt x="420" y="607"/>
                    </a:lnTo>
                    <a:lnTo>
                      <a:pt x="420" y="607"/>
                    </a:lnTo>
                    <a:lnTo>
                      <a:pt x="420" y="607"/>
                    </a:lnTo>
                    <a:lnTo>
                      <a:pt x="420" y="607"/>
                    </a:lnTo>
                    <a:lnTo>
                      <a:pt x="429" y="607"/>
                    </a:lnTo>
                    <a:lnTo>
                      <a:pt x="429" y="607"/>
                    </a:lnTo>
                    <a:lnTo>
                      <a:pt x="429" y="607"/>
                    </a:lnTo>
                    <a:lnTo>
                      <a:pt x="429" y="607"/>
                    </a:lnTo>
                    <a:lnTo>
                      <a:pt x="429" y="607"/>
                    </a:lnTo>
                    <a:lnTo>
                      <a:pt x="429" y="607"/>
                    </a:lnTo>
                    <a:lnTo>
                      <a:pt x="438" y="607"/>
                    </a:lnTo>
                    <a:lnTo>
                      <a:pt x="438" y="607"/>
                    </a:lnTo>
                    <a:lnTo>
                      <a:pt x="438" y="607"/>
                    </a:lnTo>
                    <a:lnTo>
                      <a:pt x="438" y="607"/>
                    </a:lnTo>
                    <a:lnTo>
                      <a:pt x="438" y="607"/>
                    </a:lnTo>
                    <a:lnTo>
                      <a:pt x="438" y="607"/>
                    </a:lnTo>
                    <a:lnTo>
                      <a:pt x="446" y="607"/>
                    </a:lnTo>
                    <a:lnTo>
                      <a:pt x="446" y="607"/>
                    </a:lnTo>
                    <a:lnTo>
                      <a:pt x="446" y="607"/>
                    </a:lnTo>
                    <a:lnTo>
                      <a:pt x="446" y="607"/>
                    </a:lnTo>
                    <a:lnTo>
                      <a:pt x="446" y="607"/>
                    </a:lnTo>
                    <a:lnTo>
                      <a:pt x="455" y="607"/>
                    </a:lnTo>
                    <a:lnTo>
                      <a:pt x="455" y="607"/>
                    </a:lnTo>
                    <a:lnTo>
                      <a:pt x="455" y="607"/>
                    </a:lnTo>
                    <a:lnTo>
                      <a:pt x="455" y="607"/>
                    </a:lnTo>
                    <a:lnTo>
                      <a:pt x="464" y="607"/>
                    </a:lnTo>
                    <a:lnTo>
                      <a:pt x="464" y="607"/>
                    </a:lnTo>
                    <a:lnTo>
                      <a:pt x="464" y="607"/>
                    </a:lnTo>
                    <a:lnTo>
                      <a:pt x="473" y="607"/>
                    </a:lnTo>
                    <a:lnTo>
                      <a:pt x="473" y="607"/>
                    </a:lnTo>
                    <a:lnTo>
                      <a:pt x="473" y="607"/>
                    </a:lnTo>
                    <a:lnTo>
                      <a:pt x="482" y="607"/>
                    </a:lnTo>
                    <a:lnTo>
                      <a:pt x="482" y="607"/>
                    </a:lnTo>
                    <a:lnTo>
                      <a:pt x="482" y="607"/>
                    </a:lnTo>
                    <a:lnTo>
                      <a:pt x="482" y="607"/>
                    </a:lnTo>
                    <a:lnTo>
                      <a:pt x="491" y="607"/>
                    </a:lnTo>
                    <a:lnTo>
                      <a:pt x="491" y="607"/>
                    </a:lnTo>
                    <a:lnTo>
                      <a:pt x="491" y="607"/>
                    </a:lnTo>
                    <a:lnTo>
                      <a:pt x="491" y="607"/>
                    </a:lnTo>
                    <a:lnTo>
                      <a:pt x="500" y="607"/>
                    </a:lnTo>
                    <a:lnTo>
                      <a:pt x="500" y="607"/>
                    </a:lnTo>
                    <a:lnTo>
                      <a:pt x="500" y="607"/>
                    </a:lnTo>
                    <a:lnTo>
                      <a:pt x="500" y="607"/>
                    </a:lnTo>
                    <a:lnTo>
                      <a:pt x="509" y="607"/>
                    </a:lnTo>
                    <a:lnTo>
                      <a:pt x="509" y="607"/>
                    </a:lnTo>
                    <a:lnTo>
                      <a:pt x="509" y="607"/>
                    </a:lnTo>
                    <a:lnTo>
                      <a:pt x="509" y="607"/>
                    </a:lnTo>
                    <a:lnTo>
                      <a:pt x="518" y="607"/>
                    </a:lnTo>
                    <a:lnTo>
                      <a:pt x="518" y="607"/>
                    </a:lnTo>
                    <a:lnTo>
                      <a:pt x="518" y="607"/>
                    </a:lnTo>
                    <a:lnTo>
                      <a:pt x="527" y="607"/>
                    </a:lnTo>
                    <a:lnTo>
                      <a:pt x="527" y="607"/>
                    </a:lnTo>
                    <a:lnTo>
                      <a:pt x="527" y="607"/>
                    </a:lnTo>
                    <a:lnTo>
                      <a:pt x="527" y="607"/>
                    </a:lnTo>
                    <a:lnTo>
                      <a:pt x="536" y="607"/>
                    </a:lnTo>
                    <a:lnTo>
                      <a:pt x="536" y="607"/>
                    </a:lnTo>
                    <a:lnTo>
                      <a:pt x="536" y="607"/>
                    </a:lnTo>
                    <a:lnTo>
                      <a:pt x="536" y="607"/>
                    </a:lnTo>
                    <a:lnTo>
                      <a:pt x="545" y="607"/>
                    </a:lnTo>
                    <a:lnTo>
                      <a:pt x="545" y="607"/>
                    </a:lnTo>
                    <a:lnTo>
                      <a:pt x="545" y="607"/>
                    </a:lnTo>
                    <a:lnTo>
                      <a:pt x="545" y="607"/>
                    </a:lnTo>
                    <a:lnTo>
                      <a:pt x="545" y="607"/>
                    </a:lnTo>
                    <a:lnTo>
                      <a:pt x="545" y="607"/>
                    </a:lnTo>
                    <a:lnTo>
                      <a:pt x="554" y="607"/>
                    </a:lnTo>
                    <a:lnTo>
                      <a:pt x="554" y="607"/>
                    </a:lnTo>
                    <a:lnTo>
                      <a:pt x="554" y="607"/>
                    </a:lnTo>
                    <a:lnTo>
                      <a:pt x="554" y="607"/>
                    </a:lnTo>
                    <a:lnTo>
                      <a:pt x="554" y="607"/>
                    </a:lnTo>
                    <a:lnTo>
                      <a:pt x="554" y="607"/>
                    </a:lnTo>
                    <a:lnTo>
                      <a:pt x="554" y="607"/>
                    </a:lnTo>
                    <a:lnTo>
                      <a:pt x="554" y="607"/>
                    </a:lnTo>
                    <a:lnTo>
                      <a:pt x="554" y="607"/>
                    </a:lnTo>
                    <a:lnTo>
                      <a:pt x="554" y="616"/>
                    </a:lnTo>
                    <a:lnTo>
                      <a:pt x="554" y="616"/>
                    </a:lnTo>
                    <a:lnTo>
                      <a:pt x="554" y="616"/>
                    </a:lnTo>
                    <a:lnTo>
                      <a:pt x="563" y="616"/>
                    </a:lnTo>
                    <a:lnTo>
                      <a:pt x="563" y="616"/>
                    </a:lnTo>
                    <a:lnTo>
                      <a:pt x="563" y="616"/>
                    </a:lnTo>
                    <a:lnTo>
                      <a:pt x="563" y="616"/>
                    </a:lnTo>
                    <a:lnTo>
                      <a:pt x="563" y="616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72" y="625"/>
                    </a:lnTo>
                    <a:lnTo>
                      <a:pt x="572" y="625"/>
                    </a:lnTo>
                    <a:lnTo>
                      <a:pt x="572" y="625"/>
                    </a:lnTo>
                    <a:lnTo>
                      <a:pt x="572" y="625"/>
                    </a:lnTo>
                    <a:lnTo>
                      <a:pt x="572" y="625"/>
                    </a:lnTo>
                    <a:lnTo>
                      <a:pt x="580" y="625"/>
                    </a:lnTo>
                    <a:lnTo>
                      <a:pt x="580" y="625"/>
                    </a:lnTo>
                    <a:lnTo>
                      <a:pt x="580" y="625"/>
                    </a:lnTo>
                    <a:lnTo>
                      <a:pt x="580" y="625"/>
                    </a:lnTo>
                    <a:lnTo>
                      <a:pt x="580" y="625"/>
                    </a:lnTo>
                    <a:lnTo>
                      <a:pt x="589" y="625"/>
                    </a:lnTo>
                    <a:lnTo>
                      <a:pt x="589" y="625"/>
                    </a:lnTo>
                    <a:lnTo>
                      <a:pt x="589" y="625"/>
                    </a:lnTo>
                    <a:lnTo>
                      <a:pt x="589" y="625"/>
                    </a:lnTo>
                    <a:lnTo>
                      <a:pt x="598" y="625"/>
                    </a:lnTo>
                    <a:lnTo>
                      <a:pt x="598" y="625"/>
                    </a:lnTo>
                    <a:lnTo>
                      <a:pt x="598" y="625"/>
                    </a:lnTo>
                    <a:lnTo>
                      <a:pt x="598" y="625"/>
                    </a:lnTo>
                    <a:lnTo>
                      <a:pt x="607" y="625"/>
                    </a:lnTo>
                    <a:lnTo>
                      <a:pt x="607" y="625"/>
                    </a:lnTo>
                    <a:lnTo>
                      <a:pt x="607" y="625"/>
                    </a:lnTo>
                    <a:lnTo>
                      <a:pt x="607" y="625"/>
                    </a:lnTo>
                    <a:lnTo>
                      <a:pt x="607" y="625"/>
                    </a:lnTo>
                    <a:lnTo>
                      <a:pt x="607" y="625"/>
                    </a:lnTo>
                    <a:lnTo>
                      <a:pt x="616" y="625"/>
                    </a:lnTo>
                    <a:lnTo>
                      <a:pt x="616" y="625"/>
                    </a:lnTo>
                    <a:lnTo>
                      <a:pt x="616" y="625"/>
                    </a:lnTo>
                    <a:lnTo>
                      <a:pt x="616" y="625"/>
                    </a:lnTo>
                    <a:lnTo>
                      <a:pt x="616" y="625"/>
                    </a:lnTo>
                    <a:lnTo>
                      <a:pt x="616" y="625"/>
                    </a:lnTo>
                    <a:lnTo>
                      <a:pt x="616" y="625"/>
                    </a:lnTo>
                    <a:lnTo>
                      <a:pt x="616" y="625"/>
                    </a:lnTo>
                    <a:lnTo>
                      <a:pt x="616" y="616"/>
                    </a:lnTo>
                    <a:lnTo>
                      <a:pt x="616" y="616"/>
                    </a:lnTo>
                    <a:lnTo>
                      <a:pt x="616" y="616"/>
                    </a:lnTo>
                    <a:lnTo>
                      <a:pt x="616" y="616"/>
                    </a:lnTo>
                    <a:lnTo>
                      <a:pt x="616" y="616"/>
                    </a:lnTo>
                    <a:lnTo>
                      <a:pt x="616" y="616"/>
                    </a:lnTo>
                    <a:lnTo>
                      <a:pt x="616" y="616"/>
                    </a:lnTo>
                    <a:lnTo>
                      <a:pt x="616" y="616"/>
                    </a:lnTo>
                    <a:lnTo>
                      <a:pt x="616" y="616"/>
                    </a:lnTo>
                    <a:lnTo>
                      <a:pt x="616" y="616"/>
                    </a:lnTo>
                    <a:lnTo>
                      <a:pt x="616" y="616"/>
                    </a:lnTo>
                    <a:lnTo>
                      <a:pt x="607" y="607"/>
                    </a:lnTo>
                    <a:lnTo>
                      <a:pt x="607" y="607"/>
                    </a:lnTo>
                    <a:lnTo>
                      <a:pt x="607" y="607"/>
                    </a:lnTo>
                    <a:lnTo>
                      <a:pt x="607" y="607"/>
                    </a:lnTo>
                    <a:lnTo>
                      <a:pt x="607" y="607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598" y="598"/>
                    </a:lnTo>
                    <a:lnTo>
                      <a:pt x="598" y="598"/>
                    </a:lnTo>
                    <a:lnTo>
                      <a:pt x="598" y="598"/>
                    </a:lnTo>
                    <a:lnTo>
                      <a:pt x="598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616" y="598"/>
                    </a:lnTo>
                    <a:lnTo>
                      <a:pt x="616" y="598"/>
                    </a:lnTo>
                    <a:lnTo>
                      <a:pt x="616" y="598"/>
                    </a:lnTo>
                    <a:lnTo>
                      <a:pt x="616" y="598"/>
                    </a:lnTo>
                    <a:lnTo>
                      <a:pt x="616" y="598"/>
                    </a:lnTo>
                    <a:lnTo>
                      <a:pt x="616" y="598"/>
                    </a:lnTo>
                    <a:lnTo>
                      <a:pt x="616" y="589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72"/>
                    </a:lnTo>
                    <a:lnTo>
                      <a:pt x="625" y="572"/>
                    </a:lnTo>
                    <a:lnTo>
                      <a:pt x="625" y="572"/>
                    </a:lnTo>
                    <a:lnTo>
                      <a:pt x="625" y="572"/>
                    </a:lnTo>
                    <a:lnTo>
                      <a:pt x="625" y="572"/>
                    </a:lnTo>
                    <a:lnTo>
                      <a:pt x="625" y="572"/>
                    </a:lnTo>
                    <a:lnTo>
                      <a:pt x="625" y="572"/>
                    </a:lnTo>
                    <a:lnTo>
                      <a:pt x="625" y="572"/>
                    </a:lnTo>
                    <a:lnTo>
                      <a:pt x="634" y="563"/>
                    </a:lnTo>
                    <a:lnTo>
                      <a:pt x="634" y="563"/>
                    </a:lnTo>
                    <a:lnTo>
                      <a:pt x="634" y="563"/>
                    </a:lnTo>
                    <a:lnTo>
                      <a:pt x="634" y="563"/>
                    </a:lnTo>
                    <a:lnTo>
                      <a:pt x="634" y="563"/>
                    </a:lnTo>
                    <a:lnTo>
                      <a:pt x="634" y="563"/>
                    </a:lnTo>
                    <a:lnTo>
                      <a:pt x="634" y="563"/>
                    </a:lnTo>
                    <a:lnTo>
                      <a:pt x="634" y="563"/>
                    </a:lnTo>
                    <a:lnTo>
                      <a:pt x="634" y="563"/>
                    </a:lnTo>
                    <a:lnTo>
                      <a:pt x="634" y="563"/>
                    </a:lnTo>
                    <a:lnTo>
                      <a:pt x="643" y="563"/>
                    </a:lnTo>
                    <a:lnTo>
                      <a:pt x="643" y="563"/>
                    </a:lnTo>
                    <a:lnTo>
                      <a:pt x="643" y="563"/>
                    </a:lnTo>
                    <a:lnTo>
                      <a:pt x="643" y="563"/>
                    </a:lnTo>
                    <a:lnTo>
                      <a:pt x="643" y="563"/>
                    </a:lnTo>
                    <a:lnTo>
                      <a:pt x="643" y="563"/>
                    </a:lnTo>
                    <a:lnTo>
                      <a:pt x="643" y="563"/>
                    </a:lnTo>
                    <a:lnTo>
                      <a:pt x="643" y="563"/>
                    </a:lnTo>
                    <a:lnTo>
                      <a:pt x="643" y="563"/>
                    </a:lnTo>
                    <a:lnTo>
                      <a:pt x="643" y="563"/>
                    </a:lnTo>
                    <a:lnTo>
                      <a:pt x="643" y="563"/>
                    </a:lnTo>
                    <a:lnTo>
                      <a:pt x="643" y="572"/>
                    </a:lnTo>
                    <a:lnTo>
                      <a:pt x="643" y="572"/>
                    </a:lnTo>
                    <a:lnTo>
                      <a:pt x="652" y="572"/>
                    </a:lnTo>
                    <a:lnTo>
                      <a:pt x="652" y="572"/>
                    </a:lnTo>
                    <a:lnTo>
                      <a:pt x="652" y="572"/>
                    </a:lnTo>
                    <a:lnTo>
                      <a:pt x="652" y="572"/>
                    </a:lnTo>
                    <a:lnTo>
                      <a:pt x="652" y="572"/>
                    </a:lnTo>
                    <a:lnTo>
                      <a:pt x="652" y="572"/>
                    </a:lnTo>
                    <a:lnTo>
                      <a:pt x="652" y="572"/>
                    </a:lnTo>
                    <a:lnTo>
                      <a:pt x="652" y="580"/>
                    </a:lnTo>
                    <a:lnTo>
                      <a:pt x="652" y="580"/>
                    </a:lnTo>
                    <a:lnTo>
                      <a:pt x="661" y="580"/>
                    </a:lnTo>
                    <a:lnTo>
                      <a:pt x="661" y="580"/>
                    </a:lnTo>
                    <a:lnTo>
                      <a:pt x="661" y="580"/>
                    </a:lnTo>
                    <a:lnTo>
                      <a:pt x="661" y="580"/>
                    </a:lnTo>
                    <a:lnTo>
                      <a:pt x="661" y="580"/>
                    </a:lnTo>
                    <a:lnTo>
                      <a:pt x="661" y="580"/>
                    </a:lnTo>
                    <a:lnTo>
                      <a:pt x="661" y="580"/>
                    </a:lnTo>
                    <a:lnTo>
                      <a:pt x="670" y="580"/>
                    </a:lnTo>
                    <a:lnTo>
                      <a:pt x="670" y="580"/>
                    </a:lnTo>
                    <a:lnTo>
                      <a:pt x="670" y="580"/>
                    </a:lnTo>
                    <a:lnTo>
                      <a:pt x="670" y="580"/>
                    </a:lnTo>
                    <a:lnTo>
                      <a:pt x="670" y="580"/>
                    </a:lnTo>
                    <a:lnTo>
                      <a:pt x="670" y="580"/>
                    </a:lnTo>
                    <a:lnTo>
                      <a:pt x="670" y="580"/>
                    </a:lnTo>
                    <a:lnTo>
                      <a:pt x="670" y="580"/>
                    </a:lnTo>
                    <a:lnTo>
                      <a:pt x="679" y="580"/>
                    </a:lnTo>
                    <a:lnTo>
                      <a:pt x="679" y="580"/>
                    </a:lnTo>
                    <a:lnTo>
                      <a:pt x="679" y="580"/>
                    </a:lnTo>
                    <a:lnTo>
                      <a:pt x="679" y="580"/>
                    </a:lnTo>
                    <a:lnTo>
                      <a:pt x="679" y="580"/>
                    </a:lnTo>
                    <a:lnTo>
                      <a:pt x="679" y="580"/>
                    </a:lnTo>
                    <a:lnTo>
                      <a:pt x="679" y="580"/>
                    </a:lnTo>
                    <a:lnTo>
                      <a:pt x="679" y="580"/>
                    </a:lnTo>
                    <a:lnTo>
                      <a:pt x="688" y="572"/>
                    </a:lnTo>
                    <a:lnTo>
                      <a:pt x="688" y="572"/>
                    </a:lnTo>
                    <a:lnTo>
                      <a:pt x="688" y="572"/>
                    </a:lnTo>
                    <a:lnTo>
                      <a:pt x="688" y="572"/>
                    </a:lnTo>
                    <a:lnTo>
                      <a:pt x="688" y="572"/>
                    </a:lnTo>
                    <a:lnTo>
                      <a:pt x="688" y="572"/>
                    </a:lnTo>
                    <a:lnTo>
                      <a:pt x="688" y="572"/>
                    </a:lnTo>
                    <a:lnTo>
                      <a:pt x="688" y="572"/>
                    </a:lnTo>
                    <a:lnTo>
                      <a:pt x="688" y="563"/>
                    </a:lnTo>
                    <a:lnTo>
                      <a:pt x="688" y="563"/>
                    </a:lnTo>
                    <a:lnTo>
                      <a:pt x="688" y="563"/>
                    </a:lnTo>
                    <a:lnTo>
                      <a:pt x="688" y="563"/>
                    </a:lnTo>
                    <a:lnTo>
                      <a:pt x="688" y="563"/>
                    </a:lnTo>
                    <a:lnTo>
                      <a:pt x="697" y="563"/>
                    </a:lnTo>
                    <a:lnTo>
                      <a:pt x="697" y="554"/>
                    </a:lnTo>
                    <a:lnTo>
                      <a:pt x="697" y="554"/>
                    </a:lnTo>
                    <a:lnTo>
                      <a:pt x="697" y="554"/>
                    </a:lnTo>
                    <a:lnTo>
                      <a:pt x="697" y="554"/>
                    </a:lnTo>
                    <a:lnTo>
                      <a:pt x="697" y="545"/>
                    </a:lnTo>
                    <a:lnTo>
                      <a:pt x="697" y="545"/>
                    </a:lnTo>
                    <a:lnTo>
                      <a:pt x="697" y="545"/>
                    </a:lnTo>
                    <a:lnTo>
                      <a:pt x="697" y="545"/>
                    </a:lnTo>
                    <a:lnTo>
                      <a:pt x="697" y="545"/>
                    </a:lnTo>
                    <a:lnTo>
                      <a:pt x="697" y="545"/>
                    </a:lnTo>
                    <a:lnTo>
                      <a:pt x="697" y="536"/>
                    </a:lnTo>
                    <a:lnTo>
                      <a:pt x="697" y="536"/>
                    </a:lnTo>
                    <a:lnTo>
                      <a:pt x="697" y="536"/>
                    </a:lnTo>
                    <a:lnTo>
                      <a:pt x="697" y="536"/>
                    </a:lnTo>
                    <a:lnTo>
                      <a:pt x="697" y="536"/>
                    </a:lnTo>
                    <a:lnTo>
                      <a:pt x="697" y="536"/>
                    </a:lnTo>
                    <a:lnTo>
                      <a:pt x="705" y="536"/>
                    </a:lnTo>
                    <a:lnTo>
                      <a:pt x="705" y="536"/>
                    </a:lnTo>
                    <a:lnTo>
                      <a:pt x="705" y="536"/>
                    </a:lnTo>
                    <a:lnTo>
                      <a:pt x="705" y="536"/>
                    </a:lnTo>
                    <a:lnTo>
                      <a:pt x="705" y="536"/>
                    </a:lnTo>
                    <a:lnTo>
                      <a:pt x="705" y="536"/>
                    </a:lnTo>
                    <a:lnTo>
                      <a:pt x="705" y="536"/>
                    </a:lnTo>
                    <a:lnTo>
                      <a:pt x="714" y="536"/>
                    </a:lnTo>
                    <a:lnTo>
                      <a:pt x="714" y="536"/>
                    </a:lnTo>
                    <a:lnTo>
                      <a:pt x="714" y="536"/>
                    </a:lnTo>
                    <a:lnTo>
                      <a:pt x="714" y="536"/>
                    </a:lnTo>
                    <a:lnTo>
                      <a:pt x="723" y="536"/>
                    </a:lnTo>
                    <a:lnTo>
                      <a:pt x="723" y="536"/>
                    </a:lnTo>
                    <a:lnTo>
                      <a:pt x="723" y="536"/>
                    </a:lnTo>
                    <a:lnTo>
                      <a:pt x="723" y="536"/>
                    </a:lnTo>
                    <a:lnTo>
                      <a:pt x="723" y="536"/>
                    </a:lnTo>
                    <a:lnTo>
                      <a:pt x="732" y="536"/>
                    </a:lnTo>
                    <a:lnTo>
                      <a:pt x="732" y="536"/>
                    </a:lnTo>
                    <a:lnTo>
                      <a:pt x="732" y="536"/>
                    </a:lnTo>
                    <a:lnTo>
                      <a:pt x="741" y="536"/>
                    </a:lnTo>
                    <a:lnTo>
                      <a:pt x="741" y="536"/>
                    </a:lnTo>
                    <a:lnTo>
                      <a:pt x="741" y="536"/>
                    </a:lnTo>
                    <a:lnTo>
                      <a:pt x="741" y="536"/>
                    </a:lnTo>
                    <a:lnTo>
                      <a:pt x="741" y="536"/>
                    </a:lnTo>
                    <a:lnTo>
                      <a:pt x="750" y="536"/>
                    </a:lnTo>
                    <a:lnTo>
                      <a:pt x="750" y="536"/>
                    </a:lnTo>
                    <a:lnTo>
                      <a:pt x="750" y="536"/>
                    </a:lnTo>
                    <a:lnTo>
                      <a:pt x="759" y="536"/>
                    </a:lnTo>
                    <a:lnTo>
                      <a:pt x="759" y="536"/>
                    </a:lnTo>
                    <a:lnTo>
                      <a:pt x="759" y="536"/>
                    </a:lnTo>
                    <a:lnTo>
                      <a:pt x="759" y="536"/>
                    </a:lnTo>
                    <a:lnTo>
                      <a:pt x="759" y="536"/>
                    </a:lnTo>
                    <a:lnTo>
                      <a:pt x="768" y="536"/>
                    </a:lnTo>
                    <a:lnTo>
                      <a:pt x="768" y="536"/>
                    </a:lnTo>
                    <a:lnTo>
                      <a:pt x="768" y="536"/>
                    </a:lnTo>
                    <a:lnTo>
                      <a:pt x="777" y="536"/>
                    </a:lnTo>
                    <a:lnTo>
                      <a:pt x="777" y="536"/>
                    </a:lnTo>
                    <a:lnTo>
                      <a:pt x="777" y="536"/>
                    </a:lnTo>
                    <a:lnTo>
                      <a:pt x="777" y="536"/>
                    </a:lnTo>
                    <a:lnTo>
                      <a:pt x="777" y="536"/>
                    </a:lnTo>
                    <a:lnTo>
                      <a:pt x="786" y="536"/>
                    </a:lnTo>
                    <a:lnTo>
                      <a:pt x="786" y="536"/>
                    </a:lnTo>
                    <a:lnTo>
                      <a:pt x="786" y="536"/>
                    </a:lnTo>
                    <a:lnTo>
                      <a:pt x="786" y="536"/>
                    </a:lnTo>
                    <a:lnTo>
                      <a:pt x="786" y="545"/>
                    </a:lnTo>
                    <a:lnTo>
                      <a:pt x="795" y="545"/>
                    </a:lnTo>
                    <a:lnTo>
                      <a:pt x="795" y="545"/>
                    </a:lnTo>
                    <a:lnTo>
                      <a:pt x="795" y="545"/>
                    </a:lnTo>
                    <a:lnTo>
                      <a:pt x="795" y="545"/>
                    </a:lnTo>
                    <a:lnTo>
                      <a:pt x="795" y="545"/>
                    </a:lnTo>
                    <a:lnTo>
                      <a:pt x="795" y="545"/>
                    </a:lnTo>
                    <a:lnTo>
                      <a:pt x="804" y="554"/>
                    </a:lnTo>
                    <a:lnTo>
                      <a:pt x="804" y="554"/>
                    </a:lnTo>
                    <a:lnTo>
                      <a:pt x="804" y="554"/>
                    </a:lnTo>
                    <a:lnTo>
                      <a:pt x="804" y="554"/>
                    </a:lnTo>
                    <a:lnTo>
                      <a:pt x="804" y="554"/>
                    </a:lnTo>
                    <a:lnTo>
                      <a:pt x="804" y="554"/>
                    </a:lnTo>
                    <a:lnTo>
                      <a:pt x="804" y="554"/>
                    </a:lnTo>
                    <a:lnTo>
                      <a:pt x="813" y="554"/>
                    </a:lnTo>
                    <a:lnTo>
                      <a:pt x="813" y="554"/>
                    </a:lnTo>
                    <a:lnTo>
                      <a:pt x="813" y="554"/>
                    </a:lnTo>
                    <a:lnTo>
                      <a:pt x="813" y="554"/>
                    </a:lnTo>
                    <a:lnTo>
                      <a:pt x="813" y="554"/>
                    </a:lnTo>
                    <a:lnTo>
                      <a:pt x="822" y="554"/>
                    </a:lnTo>
                    <a:lnTo>
                      <a:pt x="822" y="554"/>
                    </a:lnTo>
                    <a:lnTo>
                      <a:pt x="822" y="554"/>
                    </a:lnTo>
                    <a:lnTo>
                      <a:pt x="822" y="554"/>
                    </a:lnTo>
                    <a:lnTo>
                      <a:pt x="831" y="554"/>
                    </a:lnTo>
                    <a:lnTo>
                      <a:pt x="831" y="563"/>
                    </a:lnTo>
                    <a:lnTo>
                      <a:pt x="831" y="563"/>
                    </a:lnTo>
                    <a:lnTo>
                      <a:pt x="831" y="563"/>
                    </a:lnTo>
                    <a:lnTo>
                      <a:pt x="831" y="563"/>
                    </a:lnTo>
                    <a:lnTo>
                      <a:pt x="831" y="563"/>
                    </a:lnTo>
                    <a:lnTo>
                      <a:pt x="831" y="563"/>
                    </a:lnTo>
                    <a:lnTo>
                      <a:pt x="839" y="563"/>
                    </a:lnTo>
                    <a:lnTo>
                      <a:pt x="839" y="563"/>
                    </a:lnTo>
                    <a:lnTo>
                      <a:pt x="839" y="563"/>
                    </a:lnTo>
                    <a:lnTo>
                      <a:pt x="839" y="563"/>
                    </a:lnTo>
                    <a:lnTo>
                      <a:pt x="839" y="572"/>
                    </a:lnTo>
                    <a:lnTo>
                      <a:pt x="839" y="572"/>
                    </a:lnTo>
                    <a:lnTo>
                      <a:pt x="839" y="572"/>
                    </a:lnTo>
                    <a:lnTo>
                      <a:pt x="839" y="572"/>
                    </a:lnTo>
                    <a:lnTo>
                      <a:pt x="848" y="572"/>
                    </a:lnTo>
                    <a:lnTo>
                      <a:pt x="848" y="580"/>
                    </a:lnTo>
                    <a:lnTo>
                      <a:pt x="848" y="580"/>
                    </a:lnTo>
                    <a:lnTo>
                      <a:pt x="848" y="580"/>
                    </a:lnTo>
                  </a:path>
                </a:pathLst>
              </a:custGeom>
              <a:solidFill>
                <a:schemeClr val="tx2">
                  <a:lumMod val="75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56" name="Freeform 63">
                <a:extLst>
                  <a:ext uri="{FF2B5EF4-FFF2-40B4-BE49-F238E27FC236}">
                    <a16:creationId xmlns:a16="http://schemas.microsoft.com/office/drawing/2014/main" id="{819372BA-8CC6-4181-8059-C8E96D9438B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466" y="8491"/>
                <a:ext cx="2337" cy="1736"/>
              </a:xfrm>
              <a:custGeom>
                <a:avLst/>
                <a:gdLst>
                  <a:gd name="T0" fmla="*/ 572 w 1054"/>
                  <a:gd name="T1" fmla="*/ 678 h 732"/>
                  <a:gd name="T2" fmla="*/ 608 w 1054"/>
                  <a:gd name="T3" fmla="*/ 625 h 732"/>
                  <a:gd name="T4" fmla="*/ 644 w 1054"/>
                  <a:gd name="T5" fmla="*/ 580 h 732"/>
                  <a:gd name="T6" fmla="*/ 670 w 1054"/>
                  <a:gd name="T7" fmla="*/ 509 h 732"/>
                  <a:gd name="T8" fmla="*/ 733 w 1054"/>
                  <a:gd name="T9" fmla="*/ 464 h 732"/>
                  <a:gd name="T10" fmla="*/ 769 w 1054"/>
                  <a:gd name="T11" fmla="*/ 420 h 732"/>
                  <a:gd name="T12" fmla="*/ 813 w 1054"/>
                  <a:gd name="T13" fmla="*/ 339 h 732"/>
                  <a:gd name="T14" fmla="*/ 876 w 1054"/>
                  <a:gd name="T15" fmla="*/ 277 h 732"/>
                  <a:gd name="T16" fmla="*/ 903 w 1054"/>
                  <a:gd name="T17" fmla="*/ 214 h 732"/>
                  <a:gd name="T18" fmla="*/ 956 w 1054"/>
                  <a:gd name="T19" fmla="*/ 187 h 732"/>
                  <a:gd name="T20" fmla="*/ 983 w 1054"/>
                  <a:gd name="T21" fmla="*/ 125 h 732"/>
                  <a:gd name="T22" fmla="*/ 1019 w 1054"/>
                  <a:gd name="T23" fmla="*/ 98 h 732"/>
                  <a:gd name="T24" fmla="*/ 1045 w 1054"/>
                  <a:gd name="T25" fmla="*/ 53 h 732"/>
                  <a:gd name="T26" fmla="*/ 1045 w 1054"/>
                  <a:gd name="T27" fmla="*/ 36 h 732"/>
                  <a:gd name="T28" fmla="*/ 1028 w 1054"/>
                  <a:gd name="T29" fmla="*/ 18 h 732"/>
                  <a:gd name="T30" fmla="*/ 1001 w 1054"/>
                  <a:gd name="T31" fmla="*/ 9 h 732"/>
                  <a:gd name="T32" fmla="*/ 965 w 1054"/>
                  <a:gd name="T33" fmla="*/ 0 h 732"/>
                  <a:gd name="T34" fmla="*/ 929 w 1054"/>
                  <a:gd name="T35" fmla="*/ 0 h 732"/>
                  <a:gd name="T36" fmla="*/ 903 w 1054"/>
                  <a:gd name="T37" fmla="*/ 0 h 732"/>
                  <a:gd name="T38" fmla="*/ 903 w 1054"/>
                  <a:gd name="T39" fmla="*/ 27 h 732"/>
                  <a:gd name="T40" fmla="*/ 885 w 1054"/>
                  <a:gd name="T41" fmla="*/ 44 h 732"/>
                  <a:gd name="T42" fmla="*/ 867 w 1054"/>
                  <a:gd name="T43" fmla="*/ 44 h 732"/>
                  <a:gd name="T44" fmla="*/ 849 w 1054"/>
                  <a:gd name="T45" fmla="*/ 27 h 732"/>
                  <a:gd name="T46" fmla="*/ 840 w 1054"/>
                  <a:gd name="T47" fmla="*/ 27 h 732"/>
                  <a:gd name="T48" fmla="*/ 831 w 1054"/>
                  <a:gd name="T49" fmla="*/ 44 h 732"/>
                  <a:gd name="T50" fmla="*/ 822 w 1054"/>
                  <a:gd name="T51" fmla="*/ 62 h 732"/>
                  <a:gd name="T52" fmla="*/ 813 w 1054"/>
                  <a:gd name="T53" fmla="*/ 62 h 732"/>
                  <a:gd name="T54" fmla="*/ 822 w 1054"/>
                  <a:gd name="T55" fmla="*/ 80 h 732"/>
                  <a:gd name="T56" fmla="*/ 813 w 1054"/>
                  <a:gd name="T57" fmla="*/ 89 h 732"/>
                  <a:gd name="T58" fmla="*/ 778 w 1054"/>
                  <a:gd name="T59" fmla="*/ 89 h 732"/>
                  <a:gd name="T60" fmla="*/ 769 w 1054"/>
                  <a:gd name="T61" fmla="*/ 89 h 732"/>
                  <a:gd name="T62" fmla="*/ 760 w 1054"/>
                  <a:gd name="T63" fmla="*/ 71 h 732"/>
                  <a:gd name="T64" fmla="*/ 733 w 1054"/>
                  <a:gd name="T65" fmla="*/ 71 h 732"/>
                  <a:gd name="T66" fmla="*/ 688 w 1054"/>
                  <a:gd name="T67" fmla="*/ 71 h 732"/>
                  <a:gd name="T68" fmla="*/ 652 w 1054"/>
                  <a:gd name="T69" fmla="*/ 71 h 732"/>
                  <a:gd name="T70" fmla="*/ 626 w 1054"/>
                  <a:gd name="T71" fmla="*/ 71 h 732"/>
                  <a:gd name="T72" fmla="*/ 626 w 1054"/>
                  <a:gd name="T73" fmla="*/ 53 h 732"/>
                  <a:gd name="T74" fmla="*/ 617 w 1054"/>
                  <a:gd name="T75" fmla="*/ 44 h 732"/>
                  <a:gd name="T76" fmla="*/ 590 w 1054"/>
                  <a:gd name="T77" fmla="*/ 36 h 732"/>
                  <a:gd name="T78" fmla="*/ 572 w 1054"/>
                  <a:gd name="T79" fmla="*/ 53 h 732"/>
                  <a:gd name="T80" fmla="*/ 563 w 1054"/>
                  <a:gd name="T81" fmla="*/ 71 h 732"/>
                  <a:gd name="T82" fmla="*/ 545 w 1054"/>
                  <a:gd name="T83" fmla="*/ 89 h 732"/>
                  <a:gd name="T84" fmla="*/ 536 w 1054"/>
                  <a:gd name="T85" fmla="*/ 134 h 732"/>
                  <a:gd name="T86" fmla="*/ 518 w 1054"/>
                  <a:gd name="T87" fmla="*/ 143 h 732"/>
                  <a:gd name="T88" fmla="*/ 492 w 1054"/>
                  <a:gd name="T89" fmla="*/ 161 h 732"/>
                  <a:gd name="T90" fmla="*/ 438 w 1054"/>
                  <a:gd name="T91" fmla="*/ 196 h 732"/>
                  <a:gd name="T92" fmla="*/ 393 w 1054"/>
                  <a:gd name="T93" fmla="*/ 196 h 732"/>
                  <a:gd name="T94" fmla="*/ 340 w 1054"/>
                  <a:gd name="T95" fmla="*/ 196 h 732"/>
                  <a:gd name="T96" fmla="*/ 295 w 1054"/>
                  <a:gd name="T97" fmla="*/ 187 h 732"/>
                  <a:gd name="T98" fmla="*/ 268 w 1054"/>
                  <a:gd name="T99" fmla="*/ 178 h 732"/>
                  <a:gd name="T100" fmla="*/ 242 w 1054"/>
                  <a:gd name="T101" fmla="*/ 170 h 732"/>
                  <a:gd name="T102" fmla="*/ 251 w 1054"/>
                  <a:gd name="T103" fmla="*/ 143 h 732"/>
                  <a:gd name="T104" fmla="*/ 242 w 1054"/>
                  <a:gd name="T105" fmla="*/ 134 h 732"/>
                  <a:gd name="T106" fmla="*/ 215 w 1054"/>
                  <a:gd name="T107" fmla="*/ 116 h 732"/>
                  <a:gd name="T108" fmla="*/ 54 w 1054"/>
                  <a:gd name="T109" fmla="*/ 98 h 732"/>
                  <a:gd name="T110" fmla="*/ 27 w 1054"/>
                  <a:gd name="T111" fmla="*/ 384 h 732"/>
                  <a:gd name="T112" fmla="*/ 72 w 1054"/>
                  <a:gd name="T113" fmla="*/ 527 h 732"/>
                  <a:gd name="T114" fmla="*/ 179 w 1054"/>
                  <a:gd name="T115" fmla="*/ 670 h 732"/>
                  <a:gd name="T116" fmla="*/ 340 w 1054"/>
                  <a:gd name="T117" fmla="*/ 562 h 732"/>
                  <a:gd name="T118" fmla="*/ 483 w 1054"/>
                  <a:gd name="T119" fmla="*/ 687 h 73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</a:cxnLst>
                <a:rect l="0" t="0" r="r" b="b"/>
                <a:pathLst>
                  <a:path w="1054" h="732">
                    <a:moveTo>
                      <a:pt x="536" y="732"/>
                    </a:moveTo>
                    <a:lnTo>
                      <a:pt x="536" y="732"/>
                    </a:lnTo>
                    <a:lnTo>
                      <a:pt x="536" y="723"/>
                    </a:lnTo>
                    <a:lnTo>
                      <a:pt x="545" y="723"/>
                    </a:lnTo>
                    <a:lnTo>
                      <a:pt x="545" y="723"/>
                    </a:lnTo>
                    <a:lnTo>
                      <a:pt x="545" y="723"/>
                    </a:lnTo>
                    <a:lnTo>
                      <a:pt x="545" y="714"/>
                    </a:lnTo>
                    <a:lnTo>
                      <a:pt x="545" y="714"/>
                    </a:lnTo>
                    <a:lnTo>
                      <a:pt x="554" y="714"/>
                    </a:lnTo>
                    <a:lnTo>
                      <a:pt x="554" y="714"/>
                    </a:lnTo>
                    <a:lnTo>
                      <a:pt x="554" y="705"/>
                    </a:lnTo>
                    <a:lnTo>
                      <a:pt x="563" y="696"/>
                    </a:lnTo>
                    <a:lnTo>
                      <a:pt x="563" y="696"/>
                    </a:lnTo>
                    <a:lnTo>
                      <a:pt x="563" y="687"/>
                    </a:lnTo>
                    <a:lnTo>
                      <a:pt x="572" y="687"/>
                    </a:lnTo>
                    <a:lnTo>
                      <a:pt x="572" y="678"/>
                    </a:lnTo>
                    <a:lnTo>
                      <a:pt x="572" y="670"/>
                    </a:lnTo>
                    <a:lnTo>
                      <a:pt x="572" y="670"/>
                    </a:lnTo>
                    <a:lnTo>
                      <a:pt x="581" y="661"/>
                    </a:lnTo>
                    <a:lnTo>
                      <a:pt x="581" y="661"/>
                    </a:lnTo>
                    <a:lnTo>
                      <a:pt x="581" y="652"/>
                    </a:lnTo>
                    <a:lnTo>
                      <a:pt x="581" y="652"/>
                    </a:lnTo>
                    <a:lnTo>
                      <a:pt x="590" y="652"/>
                    </a:lnTo>
                    <a:lnTo>
                      <a:pt x="590" y="643"/>
                    </a:lnTo>
                    <a:lnTo>
                      <a:pt x="590" y="643"/>
                    </a:lnTo>
                    <a:lnTo>
                      <a:pt x="599" y="643"/>
                    </a:lnTo>
                    <a:lnTo>
                      <a:pt x="599" y="634"/>
                    </a:lnTo>
                    <a:lnTo>
                      <a:pt x="599" y="634"/>
                    </a:lnTo>
                    <a:lnTo>
                      <a:pt x="599" y="634"/>
                    </a:lnTo>
                    <a:lnTo>
                      <a:pt x="608" y="634"/>
                    </a:lnTo>
                    <a:lnTo>
                      <a:pt x="608" y="634"/>
                    </a:lnTo>
                    <a:lnTo>
                      <a:pt x="608" y="625"/>
                    </a:lnTo>
                    <a:lnTo>
                      <a:pt x="617" y="625"/>
                    </a:lnTo>
                    <a:lnTo>
                      <a:pt x="617" y="625"/>
                    </a:lnTo>
                    <a:lnTo>
                      <a:pt x="617" y="616"/>
                    </a:lnTo>
                    <a:lnTo>
                      <a:pt x="617" y="616"/>
                    </a:lnTo>
                    <a:lnTo>
                      <a:pt x="626" y="607"/>
                    </a:lnTo>
                    <a:lnTo>
                      <a:pt x="626" y="607"/>
                    </a:lnTo>
                    <a:lnTo>
                      <a:pt x="626" y="598"/>
                    </a:lnTo>
                    <a:lnTo>
                      <a:pt x="626" y="598"/>
                    </a:lnTo>
                    <a:lnTo>
                      <a:pt x="626" y="589"/>
                    </a:lnTo>
                    <a:lnTo>
                      <a:pt x="626" y="589"/>
                    </a:lnTo>
                    <a:lnTo>
                      <a:pt x="635" y="589"/>
                    </a:lnTo>
                    <a:lnTo>
                      <a:pt x="635" y="589"/>
                    </a:lnTo>
                    <a:lnTo>
                      <a:pt x="635" y="580"/>
                    </a:lnTo>
                    <a:lnTo>
                      <a:pt x="644" y="580"/>
                    </a:lnTo>
                    <a:lnTo>
                      <a:pt x="644" y="580"/>
                    </a:lnTo>
                    <a:lnTo>
                      <a:pt x="644" y="580"/>
                    </a:lnTo>
                    <a:lnTo>
                      <a:pt x="644" y="580"/>
                    </a:lnTo>
                    <a:lnTo>
                      <a:pt x="652" y="571"/>
                    </a:lnTo>
                    <a:lnTo>
                      <a:pt x="652" y="571"/>
                    </a:lnTo>
                    <a:lnTo>
                      <a:pt x="652" y="571"/>
                    </a:lnTo>
                    <a:lnTo>
                      <a:pt x="652" y="571"/>
                    </a:lnTo>
                    <a:lnTo>
                      <a:pt x="652" y="562"/>
                    </a:lnTo>
                    <a:lnTo>
                      <a:pt x="644" y="562"/>
                    </a:lnTo>
                    <a:lnTo>
                      <a:pt x="644" y="562"/>
                    </a:lnTo>
                    <a:lnTo>
                      <a:pt x="644" y="553"/>
                    </a:lnTo>
                    <a:lnTo>
                      <a:pt x="652" y="553"/>
                    </a:lnTo>
                    <a:lnTo>
                      <a:pt x="652" y="545"/>
                    </a:lnTo>
                    <a:lnTo>
                      <a:pt x="652" y="536"/>
                    </a:lnTo>
                    <a:lnTo>
                      <a:pt x="652" y="527"/>
                    </a:lnTo>
                    <a:lnTo>
                      <a:pt x="661" y="527"/>
                    </a:lnTo>
                    <a:lnTo>
                      <a:pt x="661" y="518"/>
                    </a:lnTo>
                    <a:lnTo>
                      <a:pt x="670" y="509"/>
                    </a:lnTo>
                    <a:lnTo>
                      <a:pt x="670" y="500"/>
                    </a:lnTo>
                    <a:lnTo>
                      <a:pt x="679" y="491"/>
                    </a:lnTo>
                    <a:lnTo>
                      <a:pt x="679" y="491"/>
                    </a:lnTo>
                    <a:lnTo>
                      <a:pt x="688" y="491"/>
                    </a:lnTo>
                    <a:lnTo>
                      <a:pt x="688" y="491"/>
                    </a:lnTo>
                    <a:lnTo>
                      <a:pt x="697" y="491"/>
                    </a:lnTo>
                    <a:lnTo>
                      <a:pt x="706" y="491"/>
                    </a:lnTo>
                    <a:lnTo>
                      <a:pt x="706" y="491"/>
                    </a:lnTo>
                    <a:lnTo>
                      <a:pt x="715" y="491"/>
                    </a:lnTo>
                    <a:lnTo>
                      <a:pt x="715" y="482"/>
                    </a:lnTo>
                    <a:lnTo>
                      <a:pt x="724" y="482"/>
                    </a:lnTo>
                    <a:lnTo>
                      <a:pt x="724" y="482"/>
                    </a:lnTo>
                    <a:lnTo>
                      <a:pt x="724" y="473"/>
                    </a:lnTo>
                    <a:lnTo>
                      <a:pt x="733" y="473"/>
                    </a:lnTo>
                    <a:lnTo>
                      <a:pt x="733" y="464"/>
                    </a:lnTo>
                    <a:lnTo>
                      <a:pt x="733" y="464"/>
                    </a:lnTo>
                    <a:lnTo>
                      <a:pt x="733" y="455"/>
                    </a:lnTo>
                    <a:lnTo>
                      <a:pt x="733" y="455"/>
                    </a:lnTo>
                    <a:lnTo>
                      <a:pt x="733" y="455"/>
                    </a:lnTo>
                    <a:lnTo>
                      <a:pt x="742" y="446"/>
                    </a:lnTo>
                    <a:lnTo>
                      <a:pt x="742" y="446"/>
                    </a:lnTo>
                    <a:lnTo>
                      <a:pt x="751" y="446"/>
                    </a:lnTo>
                    <a:lnTo>
                      <a:pt x="751" y="437"/>
                    </a:lnTo>
                    <a:lnTo>
                      <a:pt x="751" y="437"/>
                    </a:lnTo>
                    <a:lnTo>
                      <a:pt x="751" y="428"/>
                    </a:lnTo>
                    <a:lnTo>
                      <a:pt x="760" y="428"/>
                    </a:lnTo>
                    <a:lnTo>
                      <a:pt x="760" y="420"/>
                    </a:lnTo>
                    <a:lnTo>
                      <a:pt x="760" y="420"/>
                    </a:lnTo>
                    <a:lnTo>
                      <a:pt x="760" y="420"/>
                    </a:lnTo>
                    <a:lnTo>
                      <a:pt x="769" y="420"/>
                    </a:lnTo>
                    <a:lnTo>
                      <a:pt x="769" y="420"/>
                    </a:lnTo>
                    <a:lnTo>
                      <a:pt x="769" y="420"/>
                    </a:lnTo>
                    <a:lnTo>
                      <a:pt x="778" y="420"/>
                    </a:lnTo>
                    <a:lnTo>
                      <a:pt x="778" y="411"/>
                    </a:lnTo>
                    <a:lnTo>
                      <a:pt x="778" y="411"/>
                    </a:lnTo>
                    <a:lnTo>
                      <a:pt x="778" y="402"/>
                    </a:lnTo>
                    <a:lnTo>
                      <a:pt x="786" y="402"/>
                    </a:lnTo>
                    <a:lnTo>
                      <a:pt x="786" y="393"/>
                    </a:lnTo>
                    <a:lnTo>
                      <a:pt x="786" y="384"/>
                    </a:lnTo>
                    <a:lnTo>
                      <a:pt x="795" y="375"/>
                    </a:lnTo>
                    <a:lnTo>
                      <a:pt x="795" y="366"/>
                    </a:lnTo>
                    <a:lnTo>
                      <a:pt x="795" y="366"/>
                    </a:lnTo>
                    <a:lnTo>
                      <a:pt x="804" y="357"/>
                    </a:lnTo>
                    <a:lnTo>
                      <a:pt x="804" y="357"/>
                    </a:lnTo>
                    <a:lnTo>
                      <a:pt x="804" y="348"/>
                    </a:lnTo>
                    <a:lnTo>
                      <a:pt x="804" y="348"/>
                    </a:lnTo>
                    <a:lnTo>
                      <a:pt x="813" y="348"/>
                    </a:lnTo>
                    <a:lnTo>
                      <a:pt x="813" y="339"/>
                    </a:lnTo>
                    <a:lnTo>
                      <a:pt x="822" y="339"/>
                    </a:lnTo>
                    <a:lnTo>
                      <a:pt x="822" y="330"/>
                    </a:lnTo>
                    <a:lnTo>
                      <a:pt x="822" y="330"/>
                    </a:lnTo>
                    <a:lnTo>
                      <a:pt x="831" y="321"/>
                    </a:lnTo>
                    <a:lnTo>
                      <a:pt x="831" y="321"/>
                    </a:lnTo>
                    <a:lnTo>
                      <a:pt x="831" y="312"/>
                    </a:lnTo>
                    <a:lnTo>
                      <a:pt x="840" y="312"/>
                    </a:lnTo>
                    <a:lnTo>
                      <a:pt x="840" y="303"/>
                    </a:lnTo>
                    <a:lnTo>
                      <a:pt x="840" y="295"/>
                    </a:lnTo>
                    <a:lnTo>
                      <a:pt x="849" y="295"/>
                    </a:lnTo>
                    <a:lnTo>
                      <a:pt x="849" y="295"/>
                    </a:lnTo>
                    <a:lnTo>
                      <a:pt x="858" y="286"/>
                    </a:lnTo>
                    <a:lnTo>
                      <a:pt x="858" y="286"/>
                    </a:lnTo>
                    <a:lnTo>
                      <a:pt x="867" y="286"/>
                    </a:lnTo>
                    <a:lnTo>
                      <a:pt x="867" y="286"/>
                    </a:lnTo>
                    <a:lnTo>
                      <a:pt x="876" y="277"/>
                    </a:lnTo>
                    <a:lnTo>
                      <a:pt x="876" y="277"/>
                    </a:lnTo>
                    <a:lnTo>
                      <a:pt x="885" y="277"/>
                    </a:lnTo>
                    <a:lnTo>
                      <a:pt x="885" y="268"/>
                    </a:lnTo>
                    <a:lnTo>
                      <a:pt x="885" y="259"/>
                    </a:lnTo>
                    <a:lnTo>
                      <a:pt x="885" y="259"/>
                    </a:lnTo>
                    <a:lnTo>
                      <a:pt x="885" y="250"/>
                    </a:lnTo>
                    <a:lnTo>
                      <a:pt x="885" y="241"/>
                    </a:lnTo>
                    <a:lnTo>
                      <a:pt x="885" y="232"/>
                    </a:lnTo>
                    <a:lnTo>
                      <a:pt x="885" y="232"/>
                    </a:lnTo>
                    <a:lnTo>
                      <a:pt x="885" y="223"/>
                    </a:lnTo>
                    <a:lnTo>
                      <a:pt x="885" y="223"/>
                    </a:lnTo>
                    <a:lnTo>
                      <a:pt x="894" y="214"/>
                    </a:lnTo>
                    <a:lnTo>
                      <a:pt x="894" y="214"/>
                    </a:lnTo>
                    <a:lnTo>
                      <a:pt x="894" y="214"/>
                    </a:lnTo>
                    <a:lnTo>
                      <a:pt x="903" y="214"/>
                    </a:lnTo>
                    <a:lnTo>
                      <a:pt x="903" y="214"/>
                    </a:lnTo>
                    <a:lnTo>
                      <a:pt x="911" y="214"/>
                    </a:lnTo>
                    <a:lnTo>
                      <a:pt x="911" y="214"/>
                    </a:lnTo>
                    <a:lnTo>
                      <a:pt x="911" y="205"/>
                    </a:lnTo>
                    <a:lnTo>
                      <a:pt x="920" y="205"/>
                    </a:lnTo>
                    <a:lnTo>
                      <a:pt x="920" y="205"/>
                    </a:lnTo>
                    <a:lnTo>
                      <a:pt x="929" y="205"/>
                    </a:lnTo>
                    <a:lnTo>
                      <a:pt x="929" y="205"/>
                    </a:lnTo>
                    <a:lnTo>
                      <a:pt x="938" y="205"/>
                    </a:lnTo>
                    <a:lnTo>
                      <a:pt x="938" y="205"/>
                    </a:lnTo>
                    <a:lnTo>
                      <a:pt x="947" y="205"/>
                    </a:lnTo>
                    <a:lnTo>
                      <a:pt x="947" y="205"/>
                    </a:lnTo>
                    <a:lnTo>
                      <a:pt x="947" y="205"/>
                    </a:lnTo>
                    <a:lnTo>
                      <a:pt x="947" y="196"/>
                    </a:lnTo>
                    <a:lnTo>
                      <a:pt x="956" y="196"/>
                    </a:lnTo>
                    <a:lnTo>
                      <a:pt x="956" y="196"/>
                    </a:lnTo>
                    <a:lnTo>
                      <a:pt x="956" y="187"/>
                    </a:lnTo>
                    <a:lnTo>
                      <a:pt x="956" y="187"/>
                    </a:lnTo>
                    <a:lnTo>
                      <a:pt x="956" y="187"/>
                    </a:lnTo>
                    <a:lnTo>
                      <a:pt x="956" y="178"/>
                    </a:lnTo>
                    <a:lnTo>
                      <a:pt x="956" y="178"/>
                    </a:lnTo>
                    <a:lnTo>
                      <a:pt x="956" y="178"/>
                    </a:lnTo>
                    <a:lnTo>
                      <a:pt x="956" y="170"/>
                    </a:lnTo>
                    <a:lnTo>
                      <a:pt x="956" y="170"/>
                    </a:lnTo>
                    <a:lnTo>
                      <a:pt x="956" y="161"/>
                    </a:lnTo>
                    <a:lnTo>
                      <a:pt x="956" y="161"/>
                    </a:lnTo>
                    <a:lnTo>
                      <a:pt x="956" y="161"/>
                    </a:lnTo>
                    <a:lnTo>
                      <a:pt x="965" y="152"/>
                    </a:lnTo>
                    <a:lnTo>
                      <a:pt x="965" y="152"/>
                    </a:lnTo>
                    <a:lnTo>
                      <a:pt x="965" y="143"/>
                    </a:lnTo>
                    <a:lnTo>
                      <a:pt x="974" y="134"/>
                    </a:lnTo>
                    <a:lnTo>
                      <a:pt x="974" y="134"/>
                    </a:lnTo>
                    <a:lnTo>
                      <a:pt x="983" y="125"/>
                    </a:lnTo>
                    <a:lnTo>
                      <a:pt x="983" y="125"/>
                    </a:lnTo>
                    <a:lnTo>
                      <a:pt x="983" y="125"/>
                    </a:lnTo>
                    <a:lnTo>
                      <a:pt x="992" y="116"/>
                    </a:lnTo>
                    <a:lnTo>
                      <a:pt x="992" y="116"/>
                    </a:lnTo>
                    <a:lnTo>
                      <a:pt x="992" y="116"/>
                    </a:lnTo>
                    <a:lnTo>
                      <a:pt x="1001" y="116"/>
                    </a:lnTo>
                    <a:lnTo>
                      <a:pt x="1001" y="116"/>
                    </a:lnTo>
                    <a:lnTo>
                      <a:pt x="1001" y="107"/>
                    </a:lnTo>
                    <a:lnTo>
                      <a:pt x="1001" y="107"/>
                    </a:lnTo>
                    <a:lnTo>
                      <a:pt x="1010" y="107"/>
                    </a:lnTo>
                    <a:lnTo>
                      <a:pt x="1010" y="107"/>
                    </a:lnTo>
                    <a:lnTo>
                      <a:pt x="1010" y="107"/>
                    </a:lnTo>
                    <a:lnTo>
                      <a:pt x="1010" y="107"/>
                    </a:lnTo>
                    <a:lnTo>
                      <a:pt x="1010" y="107"/>
                    </a:lnTo>
                    <a:lnTo>
                      <a:pt x="1010" y="98"/>
                    </a:lnTo>
                    <a:lnTo>
                      <a:pt x="1019" y="98"/>
                    </a:lnTo>
                    <a:lnTo>
                      <a:pt x="1019" y="98"/>
                    </a:lnTo>
                    <a:lnTo>
                      <a:pt x="1019" y="98"/>
                    </a:lnTo>
                    <a:lnTo>
                      <a:pt x="1019" y="98"/>
                    </a:lnTo>
                    <a:lnTo>
                      <a:pt x="1019" y="89"/>
                    </a:lnTo>
                    <a:lnTo>
                      <a:pt x="1019" y="89"/>
                    </a:lnTo>
                    <a:lnTo>
                      <a:pt x="1028" y="89"/>
                    </a:lnTo>
                    <a:lnTo>
                      <a:pt x="1028" y="89"/>
                    </a:lnTo>
                    <a:lnTo>
                      <a:pt x="1028" y="80"/>
                    </a:lnTo>
                    <a:lnTo>
                      <a:pt x="1028" y="80"/>
                    </a:lnTo>
                    <a:lnTo>
                      <a:pt x="1028" y="80"/>
                    </a:lnTo>
                    <a:lnTo>
                      <a:pt x="1037" y="71"/>
                    </a:lnTo>
                    <a:lnTo>
                      <a:pt x="1037" y="71"/>
                    </a:lnTo>
                    <a:lnTo>
                      <a:pt x="1037" y="71"/>
                    </a:lnTo>
                    <a:lnTo>
                      <a:pt x="1037" y="62"/>
                    </a:lnTo>
                    <a:lnTo>
                      <a:pt x="1045" y="53"/>
                    </a:lnTo>
                    <a:lnTo>
                      <a:pt x="1045" y="53"/>
                    </a:lnTo>
                    <a:lnTo>
                      <a:pt x="1045" y="53"/>
                    </a:lnTo>
                    <a:lnTo>
                      <a:pt x="1045" y="44"/>
                    </a:lnTo>
                    <a:lnTo>
                      <a:pt x="1045" y="44"/>
                    </a:lnTo>
                    <a:lnTo>
                      <a:pt x="1045" y="44"/>
                    </a:lnTo>
                    <a:lnTo>
                      <a:pt x="1054" y="44"/>
                    </a:lnTo>
                    <a:lnTo>
                      <a:pt x="1054" y="44"/>
                    </a:lnTo>
                    <a:lnTo>
                      <a:pt x="1054" y="44"/>
                    </a:lnTo>
                    <a:lnTo>
                      <a:pt x="1054" y="44"/>
                    </a:lnTo>
                    <a:lnTo>
                      <a:pt x="1054" y="44"/>
                    </a:lnTo>
                    <a:lnTo>
                      <a:pt x="1054" y="44"/>
                    </a:lnTo>
                    <a:lnTo>
                      <a:pt x="1054" y="44"/>
                    </a:lnTo>
                    <a:lnTo>
                      <a:pt x="1054" y="44"/>
                    </a:lnTo>
                    <a:lnTo>
                      <a:pt x="1054" y="36"/>
                    </a:lnTo>
                    <a:lnTo>
                      <a:pt x="1045" y="36"/>
                    </a:lnTo>
                    <a:lnTo>
                      <a:pt x="1045" y="36"/>
                    </a:lnTo>
                    <a:lnTo>
                      <a:pt x="1045" y="36"/>
                    </a:lnTo>
                    <a:lnTo>
                      <a:pt x="1045" y="36"/>
                    </a:lnTo>
                    <a:lnTo>
                      <a:pt x="1045" y="27"/>
                    </a:lnTo>
                    <a:lnTo>
                      <a:pt x="1045" y="27"/>
                    </a:lnTo>
                    <a:lnTo>
                      <a:pt x="1045" y="27"/>
                    </a:lnTo>
                    <a:lnTo>
                      <a:pt x="1045" y="27"/>
                    </a:lnTo>
                    <a:lnTo>
                      <a:pt x="1037" y="27"/>
                    </a:lnTo>
                    <a:lnTo>
                      <a:pt x="1037" y="27"/>
                    </a:lnTo>
                    <a:lnTo>
                      <a:pt x="1037" y="27"/>
                    </a:lnTo>
                    <a:lnTo>
                      <a:pt x="1037" y="27"/>
                    </a:lnTo>
                    <a:lnTo>
                      <a:pt x="1037" y="27"/>
                    </a:lnTo>
                    <a:lnTo>
                      <a:pt x="1037" y="27"/>
                    </a:lnTo>
                    <a:lnTo>
                      <a:pt x="1037" y="18"/>
                    </a:lnTo>
                    <a:lnTo>
                      <a:pt x="1028" y="18"/>
                    </a:lnTo>
                    <a:lnTo>
                      <a:pt x="1028" y="18"/>
                    </a:lnTo>
                    <a:lnTo>
                      <a:pt x="1028" y="18"/>
                    </a:lnTo>
                    <a:lnTo>
                      <a:pt x="1028" y="18"/>
                    </a:lnTo>
                    <a:lnTo>
                      <a:pt x="1019" y="18"/>
                    </a:lnTo>
                    <a:lnTo>
                      <a:pt x="1019" y="18"/>
                    </a:lnTo>
                    <a:lnTo>
                      <a:pt x="1019" y="18"/>
                    </a:lnTo>
                    <a:lnTo>
                      <a:pt x="1019" y="18"/>
                    </a:lnTo>
                    <a:lnTo>
                      <a:pt x="1019" y="18"/>
                    </a:lnTo>
                    <a:lnTo>
                      <a:pt x="1010" y="18"/>
                    </a:lnTo>
                    <a:lnTo>
                      <a:pt x="1010" y="18"/>
                    </a:lnTo>
                    <a:lnTo>
                      <a:pt x="1010" y="18"/>
                    </a:lnTo>
                    <a:lnTo>
                      <a:pt x="1010" y="18"/>
                    </a:lnTo>
                    <a:lnTo>
                      <a:pt x="1010" y="18"/>
                    </a:lnTo>
                    <a:lnTo>
                      <a:pt x="1010" y="18"/>
                    </a:lnTo>
                    <a:lnTo>
                      <a:pt x="1010" y="18"/>
                    </a:lnTo>
                    <a:lnTo>
                      <a:pt x="1001" y="9"/>
                    </a:lnTo>
                    <a:lnTo>
                      <a:pt x="1001" y="9"/>
                    </a:lnTo>
                    <a:lnTo>
                      <a:pt x="1001" y="9"/>
                    </a:lnTo>
                    <a:lnTo>
                      <a:pt x="1001" y="9"/>
                    </a:lnTo>
                    <a:lnTo>
                      <a:pt x="1001" y="9"/>
                    </a:lnTo>
                    <a:lnTo>
                      <a:pt x="1001" y="9"/>
                    </a:lnTo>
                    <a:lnTo>
                      <a:pt x="992" y="9"/>
                    </a:lnTo>
                    <a:lnTo>
                      <a:pt x="992" y="0"/>
                    </a:lnTo>
                    <a:lnTo>
                      <a:pt x="992" y="0"/>
                    </a:lnTo>
                    <a:lnTo>
                      <a:pt x="992" y="0"/>
                    </a:lnTo>
                    <a:lnTo>
                      <a:pt x="992" y="0"/>
                    </a:lnTo>
                    <a:lnTo>
                      <a:pt x="983" y="0"/>
                    </a:lnTo>
                    <a:lnTo>
                      <a:pt x="983" y="0"/>
                    </a:lnTo>
                    <a:lnTo>
                      <a:pt x="983" y="0"/>
                    </a:lnTo>
                    <a:lnTo>
                      <a:pt x="983" y="0"/>
                    </a:lnTo>
                    <a:lnTo>
                      <a:pt x="983" y="0"/>
                    </a:lnTo>
                    <a:lnTo>
                      <a:pt x="974" y="0"/>
                    </a:lnTo>
                    <a:lnTo>
                      <a:pt x="974" y="0"/>
                    </a:lnTo>
                    <a:lnTo>
                      <a:pt x="974" y="0"/>
                    </a:lnTo>
                    <a:lnTo>
                      <a:pt x="965" y="0"/>
                    </a:lnTo>
                    <a:lnTo>
                      <a:pt x="965" y="0"/>
                    </a:lnTo>
                    <a:lnTo>
                      <a:pt x="965" y="0"/>
                    </a:lnTo>
                    <a:lnTo>
                      <a:pt x="965" y="0"/>
                    </a:lnTo>
                    <a:lnTo>
                      <a:pt x="965" y="0"/>
                    </a:lnTo>
                    <a:lnTo>
                      <a:pt x="956" y="0"/>
                    </a:lnTo>
                    <a:lnTo>
                      <a:pt x="956" y="0"/>
                    </a:lnTo>
                    <a:lnTo>
                      <a:pt x="956" y="0"/>
                    </a:lnTo>
                    <a:lnTo>
                      <a:pt x="947" y="0"/>
                    </a:lnTo>
                    <a:lnTo>
                      <a:pt x="947" y="0"/>
                    </a:lnTo>
                    <a:lnTo>
                      <a:pt x="947" y="0"/>
                    </a:lnTo>
                    <a:lnTo>
                      <a:pt x="947" y="0"/>
                    </a:lnTo>
                    <a:lnTo>
                      <a:pt x="947" y="0"/>
                    </a:lnTo>
                    <a:lnTo>
                      <a:pt x="938" y="0"/>
                    </a:lnTo>
                    <a:lnTo>
                      <a:pt x="938" y="0"/>
                    </a:lnTo>
                    <a:lnTo>
                      <a:pt x="938" y="0"/>
                    </a:lnTo>
                    <a:lnTo>
                      <a:pt x="929" y="0"/>
                    </a:lnTo>
                    <a:lnTo>
                      <a:pt x="929" y="0"/>
                    </a:lnTo>
                    <a:lnTo>
                      <a:pt x="929" y="0"/>
                    </a:lnTo>
                    <a:lnTo>
                      <a:pt x="929" y="0"/>
                    </a:lnTo>
                    <a:lnTo>
                      <a:pt x="929" y="0"/>
                    </a:lnTo>
                    <a:lnTo>
                      <a:pt x="920" y="0"/>
                    </a:lnTo>
                    <a:lnTo>
                      <a:pt x="920" y="0"/>
                    </a:lnTo>
                    <a:lnTo>
                      <a:pt x="920" y="0"/>
                    </a:lnTo>
                    <a:lnTo>
                      <a:pt x="920" y="0"/>
                    </a:lnTo>
                    <a:lnTo>
                      <a:pt x="911" y="0"/>
                    </a:lnTo>
                    <a:lnTo>
                      <a:pt x="911" y="0"/>
                    </a:lnTo>
                    <a:lnTo>
                      <a:pt x="911" y="0"/>
                    </a:lnTo>
                    <a:lnTo>
                      <a:pt x="911" y="0"/>
                    </a:lnTo>
                    <a:lnTo>
                      <a:pt x="911" y="0"/>
                    </a:lnTo>
                    <a:lnTo>
                      <a:pt x="911" y="0"/>
                    </a:lnTo>
                    <a:lnTo>
                      <a:pt x="911" y="0"/>
                    </a:lnTo>
                    <a:lnTo>
                      <a:pt x="903" y="0"/>
                    </a:lnTo>
                    <a:lnTo>
                      <a:pt x="903" y="0"/>
                    </a:lnTo>
                    <a:lnTo>
                      <a:pt x="903" y="0"/>
                    </a:lnTo>
                    <a:lnTo>
                      <a:pt x="903" y="0"/>
                    </a:lnTo>
                    <a:lnTo>
                      <a:pt x="903" y="0"/>
                    </a:lnTo>
                    <a:lnTo>
                      <a:pt x="903" y="0"/>
                    </a:lnTo>
                    <a:lnTo>
                      <a:pt x="903" y="9"/>
                    </a:lnTo>
                    <a:lnTo>
                      <a:pt x="903" y="9"/>
                    </a:lnTo>
                    <a:lnTo>
                      <a:pt x="903" y="9"/>
                    </a:lnTo>
                    <a:lnTo>
                      <a:pt x="903" y="9"/>
                    </a:lnTo>
                    <a:lnTo>
                      <a:pt x="903" y="9"/>
                    </a:lnTo>
                    <a:lnTo>
                      <a:pt x="903" y="9"/>
                    </a:lnTo>
                    <a:lnTo>
                      <a:pt x="903" y="18"/>
                    </a:lnTo>
                    <a:lnTo>
                      <a:pt x="903" y="18"/>
                    </a:lnTo>
                    <a:lnTo>
                      <a:pt x="903" y="18"/>
                    </a:lnTo>
                    <a:lnTo>
                      <a:pt x="903" y="18"/>
                    </a:lnTo>
                    <a:lnTo>
                      <a:pt x="903" y="27"/>
                    </a:lnTo>
                    <a:lnTo>
                      <a:pt x="894" y="27"/>
                    </a:lnTo>
                    <a:lnTo>
                      <a:pt x="894" y="27"/>
                    </a:lnTo>
                    <a:lnTo>
                      <a:pt x="894" y="27"/>
                    </a:lnTo>
                    <a:lnTo>
                      <a:pt x="894" y="27"/>
                    </a:lnTo>
                    <a:lnTo>
                      <a:pt x="894" y="27"/>
                    </a:lnTo>
                    <a:lnTo>
                      <a:pt x="894" y="36"/>
                    </a:lnTo>
                    <a:lnTo>
                      <a:pt x="894" y="36"/>
                    </a:lnTo>
                    <a:lnTo>
                      <a:pt x="894" y="36"/>
                    </a:lnTo>
                    <a:lnTo>
                      <a:pt x="894" y="36"/>
                    </a:lnTo>
                    <a:lnTo>
                      <a:pt x="894" y="36"/>
                    </a:lnTo>
                    <a:lnTo>
                      <a:pt x="894" y="36"/>
                    </a:lnTo>
                    <a:lnTo>
                      <a:pt x="894" y="36"/>
                    </a:lnTo>
                    <a:lnTo>
                      <a:pt x="894" y="36"/>
                    </a:lnTo>
                    <a:lnTo>
                      <a:pt x="885" y="44"/>
                    </a:lnTo>
                    <a:lnTo>
                      <a:pt x="885" y="44"/>
                    </a:lnTo>
                    <a:lnTo>
                      <a:pt x="885" y="44"/>
                    </a:lnTo>
                    <a:lnTo>
                      <a:pt x="885" y="44"/>
                    </a:lnTo>
                    <a:lnTo>
                      <a:pt x="885" y="44"/>
                    </a:lnTo>
                    <a:lnTo>
                      <a:pt x="885" y="44"/>
                    </a:lnTo>
                    <a:lnTo>
                      <a:pt x="885" y="44"/>
                    </a:lnTo>
                    <a:lnTo>
                      <a:pt x="885" y="44"/>
                    </a:lnTo>
                    <a:lnTo>
                      <a:pt x="876" y="44"/>
                    </a:lnTo>
                    <a:lnTo>
                      <a:pt x="876" y="44"/>
                    </a:lnTo>
                    <a:lnTo>
                      <a:pt x="876" y="44"/>
                    </a:lnTo>
                    <a:lnTo>
                      <a:pt x="876" y="44"/>
                    </a:lnTo>
                    <a:lnTo>
                      <a:pt x="876" y="44"/>
                    </a:lnTo>
                    <a:lnTo>
                      <a:pt x="876" y="44"/>
                    </a:lnTo>
                    <a:lnTo>
                      <a:pt x="876" y="44"/>
                    </a:lnTo>
                    <a:lnTo>
                      <a:pt x="876" y="44"/>
                    </a:lnTo>
                    <a:lnTo>
                      <a:pt x="867" y="44"/>
                    </a:lnTo>
                    <a:lnTo>
                      <a:pt x="867" y="44"/>
                    </a:lnTo>
                    <a:lnTo>
                      <a:pt x="867" y="44"/>
                    </a:lnTo>
                    <a:lnTo>
                      <a:pt x="867" y="44"/>
                    </a:lnTo>
                    <a:lnTo>
                      <a:pt x="867" y="44"/>
                    </a:lnTo>
                    <a:lnTo>
                      <a:pt x="867" y="44"/>
                    </a:lnTo>
                    <a:lnTo>
                      <a:pt x="867" y="44"/>
                    </a:lnTo>
                    <a:lnTo>
                      <a:pt x="858" y="44"/>
                    </a:lnTo>
                    <a:lnTo>
                      <a:pt x="858" y="44"/>
                    </a:lnTo>
                    <a:lnTo>
                      <a:pt x="858" y="36"/>
                    </a:lnTo>
                    <a:lnTo>
                      <a:pt x="858" y="36"/>
                    </a:lnTo>
                    <a:lnTo>
                      <a:pt x="858" y="36"/>
                    </a:lnTo>
                    <a:lnTo>
                      <a:pt x="858" y="36"/>
                    </a:lnTo>
                    <a:lnTo>
                      <a:pt x="858" y="36"/>
                    </a:lnTo>
                    <a:lnTo>
                      <a:pt x="858" y="36"/>
                    </a:lnTo>
                    <a:lnTo>
                      <a:pt x="858" y="36"/>
                    </a:lnTo>
                    <a:lnTo>
                      <a:pt x="849" y="36"/>
                    </a:lnTo>
                    <a:lnTo>
                      <a:pt x="849" y="36"/>
                    </a:lnTo>
                    <a:lnTo>
                      <a:pt x="849" y="27"/>
                    </a:lnTo>
                    <a:lnTo>
                      <a:pt x="849" y="27"/>
                    </a:lnTo>
                    <a:lnTo>
                      <a:pt x="849" y="27"/>
                    </a:lnTo>
                    <a:lnTo>
                      <a:pt x="849" y="27"/>
                    </a:lnTo>
                    <a:lnTo>
                      <a:pt x="849" y="27"/>
                    </a:lnTo>
                    <a:lnTo>
                      <a:pt x="849" y="27"/>
                    </a:lnTo>
                    <a:lnTo>
                      <a:pt x="849" y="27"/>
                    </a:lnTo>
                    <a:lnTo>
                      <a:pt x="849" y="27"/>
                    </a:lnTo>
                    <a:lnTo>
                      <a:pt x="849" y="27"/>
                    </a:lnTo>
                    <a:lnTo>
                      <a:pt x="849" y="27"/>
                    </a:lnTo>
                    <a:lnTo>
                      <a:pt x="849" y="27"/>
                    </a:lnTo>
                    <a:lnTo>
                      <a:pt x="840" y="27"/>
                    </a:lnTo>
                    <a:lnTo>
                      <a:pt x="840" y="27"/>
                    </a:lnTo>
                    <a:lnTo>
                      <a:pt x="840" y="27"/>
                    </a:lnTo>
                    <a:lnTo>
                      <a:pt x="840" y="27"/>
                    </a:lnTo>
                    <a:lnTo>
                      <a:pt x="840" y="27"/>
                    </a:lnTo>
                    <a:lnTo>
                      <a:pt x="840" y="27"/>
                    </a:lnTo>
                    <a:lnTo>
                      <a:pt x="840" y="27"/>
                    </a:lnTo>
                    <a:lnTo>
                      <a:pt x="840" y="27"/>
                    </a:lnTo>
                    <a:lnTo>
                      <a:pt x="840" y="27"/>
                    </a:lnTo>
                    <a:lnTo>
                      <a:pt x="840" y="27"/>
                    </a:lnTo>
                    <a:lnTo>
                      <a:pt x="831" y="36"/>
                    </a:lnTo>
                    <a:lnTo>
                      <a:pt x="831" y="36"/>
                    </a:lnTo>
                    <a:lnTo>
                      <a:pt x="831" y="36"/>
                    </a:lnTo>
                    <a:lnTo>
                      <a:pt x="831" y="36"/>
                    </a:lnTo>
                    <a:lnTo>
                      <a:pt x="831" y="36"/>
                    </a:lnTo>
                    <a:lnTo>
                      <a:pt x="831" y="36"/>
                    </a:lnTo>
                    <a:lnTo>
                      <a:pt x="831" y="36"/>
                    </a:lnTo>
                    <a:lnTo>
                      <a:pt x="831" y="36"/>
                    </a:lnTo>
                    <a:lnTo>
                      <a:pt x="831" y="44"/>
                    </a:lnTo>
                    <a:lnTo>
                      <a:pt x="831" y="44"/>
                    </a:lnTo>
                    <a:lnTo>
                      <a:pt x="831" y="44"/>
                    </a:lnTo>
                    <a:lnTo>
                      <a:pt x="831" y="44"/>
                    </a:lnTo>
                    <a:lnTo>
                      <a:pt x="831" y="44"/>
                    </a:lnTo>
                    <a:lnTo>
                      <a:pt x="831" y="44"/>
                    </a:lnTo>
                    <a:lnTo>
                      <a:pt x="831" y="44"/>
                    </a:lnTo>
                    <a:lnTo>
                      <a:pt x="831" y="53"/>
                    </a:lnTo>
                    <a:lnTo>
                      <a:pt x="831" y="53"/>
                    </a:lnTo>
                    <a:lnTo>
                      <a:pt x="831" y="53"/>
                    </a:lnTo>
                    <a:lnTo>
                      <a:pt x="831" y="53"/>
                    </a:lnTo>
                    <a:lnTo>
                      <a:pt x="831" y="53"/>
                    </a:lnTo>
                    <a:lnTo>
                      <a:pt x="831" y="53"/>
                    </a:lnTo>
                    <a:lnTo>
                      <a:pt x="831" y="53"/>
                    </a:lnTo>
                    <a:lnTo>
                      <a:pt x="831" y="53"/>
                    </a:lnTo>
                    <a:lnTo>
                      <a:pt x="831" y="53"/>
                    </a:lnTo>
                    <a:lnTo>
                      <a:pt x="822" y="53"/>
                    </a:lnTo>
                    <a:lnTo>
                      <a:pt x="822" y="62"/>
                    </a:lnTo>
                    <a:lnTo>
                      <a:pt x="822" y="62"/>
                    </a:lnTo>
                    <a:lnTo>
                      <a:pt x="822" y="62"/>
                    </a:lnTo>
                    <a:lnTo>
                      <a:pt x="822" y="62"/>
                    </a:lnTo>
                    <a:lnTo>
                      <a:pt x="822" y="62"/>
                    </a:lnTo>
                    <a:lnTo>
                      <a:pt x="822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04" y="62"/>
                    </a:lnTo>
                    <a:lnTo>
                      <a:pt x="804" y="62"/>
                    </a:lnTo>
                    <a:lnTo>
                      <a:pt x="804" y="62"/>
                    </a:lnTo>
                    <a:lnTo>
                      <a:pt x="804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13" y="71"/>
                    </a:lnTo>
                    <a:lnTo>
                      <a:pt x="813" y="71"/>
                    </a:lnTo>
                    <a:lnTo>
                      <a:pt x="813" y="71"/>
                    </a:lnTo>
                    <a:lnTo>
                      <a:pt x="813" y="71"/>
                    </a:lnTo>
                    <a:lnTo>
                      <a:pt x="813" y="71"/>
                    </a:lnTo>
                    <a:lnTo>
                      <a:pt x="822" y="80"/>
                    </a:lnTo>
                    <a:lnTo>
                      <a:pt x="822" y="80"/>
                    </a:lnTo>
                    <a:lnTo>
                      <a:pt x="822" y="80"/>
                    </a:lnTo>
                    <a:lnTo>
                      <a:pt x="822" y="80"/>
                    </a:lnTo>
                    <a:lnTo>
                      <a:pt x="822" y="80"/>
                    </a:lnTo>
                    <a:lnTo>
                      <a:pt x="822" y="80"/>
                    </a:lnTo>
                    <a:lnTo>
                      <a:pt x="822" y="80"/>
                    </a:lnTo>
                    <a:lnTo>
                      <a:pt x="822" y="80"/>
                    </a:lnTo>
                    <a:lnTo>
                      <a:pt x="822" y="80"/>
                    </a:lnTo>
                    <a:lnTo>
                      <a:pt x="822" y="80"/>
                    </a:lnTo>
                    <a:lnTo>
                      <a:pt x="822" y="80"/>
                    </a:lnTo>
                    <a:lnTo>
                      <a:pt x="822" y="89"/>
                    </a:lnTo>
                    <a:lnTo>
                      <a:pt x="822" y="89"/>
                    </a:lnTo>
                    <a:lnTo>
                      <a:pt x="822" y="89"/>
                    </a:lnTo>
                    <a:lnTo>
                      <a:pt x="822" y="89"/>
                    </a:lnTo>
                    <a:lnTo>
                      <a:pt x="822" y="89"/>
                    </a:lnTo>
                    <a:lnTo>
                      <a:pt x="822" y="89"/>
                    </a:lnTo>
                    <a:lnTo>
                      <a:pt x="822" y="89"/>
                    </a:lnTo>
                    <a:lnTo>
                      <a:pt x="822" y="89"/>
                    </a:lnTo>
                    <a:lnTo>
                      <a:pt x="813" y="89"/>
                    </a:lnTo>
                    <a:lnTo>
                      <a:pt x="813" y="89"/>
                    </a:lnTo>
                    <a:lnTo>
                      <a:pt x="813" y="89"/>
                    </a:lnTo>
                    <a:lnTo>
                      <a:pt x="813" y="89"/>
                    </a:lnTo>
                    <a:lnTo>
                      <a:pt x="813" y="89"/>
                    </a:lnTo>
                    <a:lnTo>
                      <a:pt x="813" y="89"/>
                    </a:lnTo>
                    <a:lnTo>
                      <a:pt x="804" y="89"/>
                    </a:lnTo>
                    <a:lnTo>
                      <a:pt x="804" y="89"/>
                    </a:lnTo>
                    <a:lnTo>
                      <a:pt x="804" y="89"/>
                    </a:lnTo>
                    <a:lnTo>
                      <a:pt x="804" y="89"/>
                    </a:lnTo>
                    <a:lnTo>
                      <a:pt x="795" y="89"/>
                    </a:lnTo>
                    <a:lnTo>
                      <a:pt x="795" y="89"/>
                    </a:lnTo>
                    <a:lnTo>
                      <a:pt x="795" y="89"/>
                    </a:lnTo>
                    <a:lnTo>
                      <a:pt x="795" y="89"/>
                    </a:lnTo>
                    <a:lnTo>
                      <a:pt x="786" y="89"/>
                    </a:lnTo>
                    <a:lnTo>
                      <a:pt x="786" y="89"/>
                    </a:lnTo>
                    <a:lnTo>
                      <a:pt x="786" y="89"/>
                    </a:lnTo>
                    <a:lnTo>
                      <a:pt x="786" y="89"/>
                    </a:lnTo>
                    <a:lnTo>
                      <a:pt x="786" y="89"/>
                    </a:lnTo>
                    <a:lnTo>
                      <a:pt x="778" y="89"/>
                    </a:lnTo>
                    <a:lnTo>
                      <a:pt x="778" y="89"/>
                    </a:lnTo>
                    <a:lnTo>
                      <a:pt x="778" y="89"/>
                    </a:lnTo>
                    <a:lnTo>
                      <a:pt x="778" y="89"/>
                    </a:lnTo>
                    <a:lnTo>
                      <a:pt x="778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0"/>
                    </a:lnTo>
                    <a:lnTo>
                      <a:pt x="769" y="80"/>
                    </a:lnTo>
                    <a:lnTo>
                      <a:pt x="769" y="80"/>
                    </a:lnTo>
                    <a:lnTo>
                      <a:pt x="769" y="80"/>
                    </a:lnTo>
                    <a:lnTo>
                      <a:pt x="769" y="80"/>
                    </a:lnTo>
                    <a:lnTo>
                      <a:pt x="760" y="80"/>
                    </a:lnTo>
                    <a:lnTo>
                      <a:pt x="760" y="80"/>
                    </a:lnTo>
                    <a:lnTo>
                      <a:pt x="760" y="80"/>
                    </a:lnTo>
                    <a:lnTo>
                      <a:pt x="760" y="71"/>
                    </a:lnTo>
                    <a:lnTo>
                      <a:pt x="760" y="71"/>
                    </a:lnTo>
                    <a:lnTo>
                      <a:pt x="760" y="71"/>
                    </a:lnTo>
                    <a:lnTo>
                      <a:pt x="760" y="71"/>
                    </a:lnTo>
                    <a:lnTo>
                      <a:pt x="760" y="71"/>
                    </a:lnTo>
                    <a:lnTo>
                      <a:pt x="760" y="71"/>
                    </a:lnTo>
                    <a:lnTo>
                      <a:pt x="760" y="71"/>
                    </a:lnTo>
                    <a:lnTo>
                      <a:pt x="760" y="71"/>
                    </a:lnTo>
                    <a:lnTo>
                      <a:pt x="760" y="71"/>
                    </a:lnTo>
                    <a:lnTo>
                      <a:pt x="751" y="71"/>
                    </a:lnTo>
                    <a:lnTo>
                      <a:pt x="751" y="71"/>
                    </a:lnTo>
                    <a:lnTo>
                      <a:pt x="751" y="71"/>
                    </a:lnTo>
                    <a:lnTo>
                      <a:pt x="751" y="71"/>
                    </a:lnTo>
                    <a:lnTo>
                      <a:pt x="751" y="71"/>
                    </a:lnTo>
                    <a:lnTo>
                      <a:pt x="751" y="71"/>
                    </a:lnTo>
                    <a:lnTo>
                      <a:pt x="742" y="71"/>
                    </a:lnTo>
                    <a:lnTo>
                      <a:pt x="742" y="71"/>
                    </a:lnTo>
                    <a:lnTo>
                      <a:pt x="742" y="71"/>
                    </a:lnTo>
                    <a:lnTo>
                      <a:pt x="742" y="71"/>
                    </a:lnTo>
                    <a:lnTo>
                      <a:pt x="733" y="71"/>
                    </a:lnTo>
                    <a:lnTo>
                      <a:pt x="733" y="71"/>
                    </a:lnTo>
                    <a:lnTo>
                      <a:pt x="733" y="71"/>
                    </a:lnTo>
                    <a:lnTo>
                      <a:pt x="733" y="71"/>
                    </a:lnTo>
                    <a:lnTo>
                      <a:pt x="724" y="71"/>
                    </a:lnTo>
                    <a:lnTo>
                      <a:pt x="724" y="71"/>
                    </a:lnTo>
                    <a:lnTo>
                      <a:pt x="724" y="71"/>
                    </a:lnTo>
                    <a:lnTo>
                      <a:pt x="715" y="71"/>
                    </a:lnTo>
                    <a:lnTo>
                      <a:pt x="715" y="71"/>
                    </a:lnTo>
                    <a:lnTo>
                      <a:pt x="715" y="71"/>
                    </a:lnTo>
                    <a:lnTo>
                      <a:pt x="715" y="71"/>
                    </a:lnTo>
                    <a:lnTo>
                      <a:pt x="706" y="71"/>
                    </a:lnTo>
                    <a:lnTo>
                      <a:pt x="706" y="71"/>
                    </a:lnTo>
                    <a:lnTo>
                      <a:pt x="706" y="71"/>
                    </a:lnTo>
                    <a:lnTo>
                      <a:pt x="706" y="71"/>
                    </a:lnTo>
                    <a:lnTo>
                      <a:pt x="697" y="71"/>
                    </a:lnTo>
                    <a:lnTo>
                      <a:pt x="697" y="71"/>
                    </a:lnTo>
                    <a:lnTo>
                      <a:pt x="697" y="71"/>
                    </a:lnTo>
                    <a:lnTo>
                      <a:pt x="697" y="71"/>
                    </a:lnTo>
                    <a:lnTo>
                      <a:pt x="688" y="71"/>
                    </a:lnTo>
                    <a:lnTo>
                      <a:pt x="688" y="71"/>
                    </a:lnTo>
                    <a:lnTo>
                      <a:pt x="688" y="71"/>
                    </a:lnTo>
                    <a:lnTo>
                      <a:pt x="688" y="71"/>
                    </a:lnTo>
                    <a:lnTo>
                      <a:pt x="679" y="71"/>
                    </a:lnTo>
                    <a:lnTo>
                      <a:pt x="679" y="71"/>
                    </a:lnTo>
                    <a:lnTo>
                      <a:pt x="679" y="71"/>
                    </a:lnTo>
                    <a:lnTo>
                      <a:pt x="670" y="71"/>
                    </a:lnTo>
                    <a:lnTo>
                      <a:pt x="670" y="71"/>
                    </a:lnTo>
                    <a:lnTo>
                      <a:pt x="670" y="71"/>
                    </a:lnTo>
                    <a:lnTo>
                      <a:pt x="661" y="71"/>
                    </a:lnTo>
                    <a:lnTo>
                      <a:pt x="661" y="71"/>
                    </a:lnTo>
                    <a:lnTo>
                      <a:pt x="661" y="71"/>
                    </a:lnTo>
                    <a:lnTo>
                      <a:pt x="661" y="71"/>
                    </a:lnTo>
                    <a:lnTo>
                      <a:pt x="652" y="71"/>
                    </a:lnTo>
                    <a:lnTo>
                      <a:pt x="652" y="71"/>
                    </a:lnTo>
                    <a:lnTo>
                      <a:pt x="652" y="71"/>
                    </a:lnTo>
                    <a:lnTo>
                      <a:pt x="652" y="71"/>
                    </a:lnTo>
                    <a:lnTo>
                      <a:pt x="652" y="71"/>
                    </a:lnTo>
                    <a:lnTo>
                      <a:pt x="644" y="71"/>
                    </a:lnTo>
                    <a:lnTo>
                      <a:pt x="644" y="71"/>
                    </a:lnTo>
                    <a:lnTo>
                      <a:pt x="644" y="71"/>
                    </a:lnTo>
                    <a:lnTo>
                      <a:pt x="644" y="71"/>
                    </a:lnTo>
                    <a:lnTo>
                      <a:pt x="644" y="71"/>
                    </a:lnTo>
                    <a:lnTo>
                      <a:pt x="644" y="71"/>
                    </a:lnTo>
                    <a:lnTo>
                      <a:pt x="635" y="71"/>
                    </a:lnTo>
                    <a:lnTo>
                      <a:pt x="635" y="71"/>
                    </a:lnTo>
                    <a:lnTo>
                      <a:pt x="635" y="71"/>
                    </a:lnTo>
                    <a:lnTo>
                      <a:pt x="635" y="71"/>
                    </a:lnTo>
                    <a:lnTo>
                      <a:pt x="635" y="71"/>
                    </a:lnTo>
                    <a:lnTo>
                      <a:pt x="635" y="71"/>
                    </a:lnTo>
                    <a:lnTo>
                      <a:pt x="626" y="71"/>
                    </a:lnTo>
                    <a:lnTo>
                      <a:pt x="626" y="71"/>
                    </a:lnTo>
                    <a:lnTo>
                      <a:pt x="626" y="71"/>
                    </a:lnTo>
                    <a:lnTo>
                      <a:pt x="626" y="71"/>
                    </a:lnTo>
                    <a:lnTo>
                      <a:pt x="626" y="71"/>
                    </a:lnTo>
                    <a:lnTo>
                      <a:pt x="626" y="71"/>
                    </a:lnTo>
                    <a:lnTo>
                      <a:pt x="626" y="71"/>
                    </a:lnTo>
                    <a:lnTo>
                      <a:pt x="626" y="71"/>
                    </a:lnTo>
                    <a:lnTo>
                      <a:pt x="626" y="62"/>
                    </a:lnTo>
                    <a:lnTo>
                      <a:pt x="626" y="62"/>
                    </a:lnTo>
                    <a:lnTo>
                      <a:pt x="626" y="62"/>
                    </a:lnTo>
                    <a:lnTo>
                      <a:pt x="626" y="62"/>
                    </a:lnTo>
                    <a:lnTo>
                      <a:pt x="626" y="62"/>
                    </a:lnTo>
                    <a:lnTo>
                      <a:pt x="626" y="62"/>
                    </a:lnTo>
                    <a:lnTo>
                      <a:pt x="626" y="62"/>
                    </a:lnTo>
                    <a:lnTo>
                      <a:pt x="626" y="62"/>
                    </a:lnTo>
                    <a:lnTo>
                      <a:pt x="626" y="53"/>
                    </a:lnTo>
                    <a:lnTo>
                      <a:pt x="626" y="53"/>
                    </a:lnTo>
                    <a:lnTo>
                      <a:pt x="626" y="53"/>
                    </a:lnTo>
                    <a:lnTo>
                      <a:pt x="626" y="53"/>
                    </a:lnTo>
                    <a:lnTo>
                      <a:pt x="626" y="53"/>
                    </a:lnTo>
                    <a:lnTo>
                      <a:pt x="626" y="53"/>
                    </a:lnTo>
                    <a:lnTo>
                      <a:pt x="626" y="53"/>
                    </a:lnTo>
                    <a:lnTo>
                      <a:pt x="626" y="53"/>
                    </a:lnTo>
                    <a:lnTo>
                      <a:pt x="626" y="53"/>
                    </a:lnTo>
                    <a:lnTo>
                      <a:pt x="626" y="53"/>
                    </a:lnTo>
                    <a:lnTo>
                      <a:pt x="626" y="53"/>
                    </a:lnTo>
                    <a:lnTo>
                      <a:pt x="626" y="44"/>
                    </a:lnTo>
                    <a:lnTo>
                      <a:pt x="626" y="44"/>
                    </a:lnTo>
                    <a:lnTo>
                      <a:pt x="626" y="44"/>
                    </a:lnTo>
                    <a:lnTo>
                      <a:pt x="617" y="44"/>
                    </a:lnTo>
                    <a:lnTo>
                      <a:pt x="617" y="44"/>
                    </a:lnTo>
                    <a:lnTo>
                      <a:pt x="617" y="44"/>
                    </a:lnTo>
                    <a:lnTo>
                      <a:pt x="617" y="44"/>
                    </a:lnTo>
                    <a:lnTo>
                      <a:pt x="617" y="44"/>
                    </a:lnTo>
                    <a:lnTo>
                      <a:pt x="617" y="44"/>
                    </a:lnTo>
                    <a:lnTo>
                      <a:pt x="617" y="44"/>
                    </a:lnTo>
                    <a:lnTo>
                      <a:pt x="608" y="44"/>
                    </a:lnTo>
                    <a:lnTo>
                      <a:pt x="608" y="44"/>
                    </a:lnTo>
                    <a:lnTo>
                      <a:pt x="608" y="36"/>
                    </a:lnTo>
                    <a:lnTo>
                      <a:pt x="608" y="36"/>
                    </a:lnTo>
                    <a:lnTo>
                      <a:pt x="608" y="36"/>
                    </a:lnTo>
                    <a:lnTo>
                      <a:pt x="599" y="36"/>
                    </a:lnTo>
                    <a:lnTo>
                      <a:pt x="599" y="36"/>
                    </a:lnTo>
                    <a:lnTo>
                      <a:pt x="599" y="36"/>
                    </a:lnTo>
                    <a:lnTo>
                      <a:pt x="599" y="36"/>
                    </a:lnTo>
                    <a:lnTo>
                      <a:pt x="599" y="36"/>
                    </a:lnTo>
                    <a:lnTo>
                      <a:pt x="590" y="36"/>
                    </a:lnTo>
                    <a:lnTo>
                      <a:pt x="590" y="36"/>
                    </a:lnTo>
                    <a:lnTo>
                      <a:pt x="590" y="36"/>
                    </a:lnTo>
                    <a:lnTo>
                      <a:pt x="590" y="36"/>
                    </a:lnTo>
                    <a:lnTo>
                      <a:pt x="590" y="44"/>
                    </a:lnTo>
                    <a:lnTo>
                      <a:pt x="581" y="44"/>
                    </a:lnTo>
                    <a:lnTo>
                      <a:pt x="581" y="44"/>
                    </a:lnTo>
                    <a:lnTo>
                      <a:pt x="581" y="44"/>
                    </a:lnTo>
                    <a:lnTo>
                      <a:pt x="581" y="44"/>
                    </a:lnTo>
                    <a:lnTo>
                      <a:pt x="581" y="44"/>
                    </a:lnTo>
                    <a:lnTo>
                      <a:pt x="581" y="44"/>
                    </a:lnTo>
                    <a:lnTo>
                      <a:pt x="581" y="44"/>
                    </a:lnTo>
                    <a:lnTo>
                      <a:pt x="572" y="44"/>
                    </a:lnTo>
                    <a:lnTo>
                      <a:pt x="572" y="44"/>
                    </a:lnTo>
                    <a:lnTo>
                      <a:pt x="572" y="53"/>
                    </a:lnTo>
                    <a:lnTo>
                      <a:pt x="572" y="53"/>
                    </a:lnTo>
                    <a:lnTo>
                      <a:pt x="572" y="53"/>
                    </a:lnTo>
                    <a:lnTo>
                      <a:pt x="572" y="53"/>
                    </a:lnTo>
                    <a:lnTo>
                      <a:pt x="572" y="53"/>
                    </a:lnTo>
                    <a:lnTo>
                      <a:pt x="572" y="62"/>
                    </a:lnTo>
                    <a:lnTo>
                      <a:pt x="572" y="62"/>
                    </a:lnTo>
                    <a:lnTo>
                      <a:pt x="572" y="62"/>
                    </a:lnTo>
                    <a:lnTo>
                      <a:pt x="572" y="62"/>
                    </a:lnTo>
                    <a:lnTo>
                      <a:pt x="572" y="62"/>
                    </a:lnTo>
                    <a:lnTo>
                      <a:pt x="572" y="62"/>
                    </a:lnTo>
                    <a:lnTo>
                      <a:pt x="572" y="71"/>
                    </a:lnTo>
                    <a:lnTo>
                      <a:pt x="572" y="71"/>
                    </a:lnTo>
                    <a:lnTo>
                      <a:pt x="572" y="71"/>
                    </a:lnTo>
                    <a:lnTo>
                      <a:pt x="572" y="71"/>
                    </a:lnTo>
                    <a:lnTo>
                      <a:pt x="572" y="71"/>
                    </a:lnTo>
                    <a:lnTo>
                      <a:pt x="572" y="71"/>
                    </a:lnTo>
                    <a:lnTo>
                      <a:pt x="572" y="71"/>
                    </a:lnTo>
                    <a:lnTo>
                      <a:pt x="572" y="71"/>
                    </a:lnTo>
                    <a:lnTo>
                      <a:pt x="572" y="71"/>
                    </a:lnTo>
                    <a:lnTo>
                      <a:pt x="563" y="71"/>
                    </a:lnTo>
                    <a:lnTo>
                      <a:pt x="563" y="71"/>
                    </a:lnTo>
                    <a:lnTo>
                      <a:pt x="563" y="71"/>
                    </a:lnTo>
                    <a:lnTo>
                      <a:pt x="563" y="71"/>
                    </a:lnTo>
                    <a:lnTo>
                      <a:pt x="563" y="71"/>
                    </a:lnTo>
                    <a:lnTo>
                      <a:pt x="563" y="71"/>
                    </a:lnTo>
                    <a:lnTo>
                      <a:pt x="554" y="71"/>
                    </a:lnTo>
                    <a:lnTo>
                      <a:pt x="554" y="71"/>
                    </a:lnTo>
                    <a:lnTo>
                      <a:pt x="554" y="71"/>
                    </a:lnTo>
                    <a:lnTo>
                      <a:pt x="554" y="80"/>
                    </a:lnTo>
                    <a:lnTo>
                      <a:pt x="554" y="80"/>
                    </a:lnTo>
                    <a:lnTo>
                      <a:pt x="545" y="80"/>
                    </a:lnTo>
                    <a:lnTo>
                      <a:pt x="545" y="80"/>
                    </a:lnTo>
                    <a:lnTo>
                      <a:pt x="545" y="80"/>
                    </a:lnTo>
                    <a:lnTo>
                      <a:pt x="545" y="80"/>
                    </a:lnTo>
                    <a:lnTo>
                      <a:pt x="545" y="89"/>
                    </a:lnTo>
                    <a:lnTo>
                      <a:pt x="545" y="89"/>
                    </a:lnTo>
                    <a:lnTo>
                      <a:pt x="545" y="89"/>
                    </a:lnTo>
                    <a:lnTo>
                      <a:pt x="536" y="89"/>
                    </a:lnTo>
                    <a:lnTo>
                      <a:pt x="536" y="89"/>
                    </a:lnTo>
                    <a:lnTo>
                      <a:pt x="536" y="98"/>
                    </a:lnTo>
                    <a:lnTo>
                      <a:pt x="536" y="98"/>
                    </a:lnTo>
                    <a:lnTo>
                      <a:pt x="536" y="98"/>
                    </a:lnTo>
                    <a:lnTo>
                      <a:pt x="536" y="107"/>
                    </a:lnTo>
                    <a:lnTo>
                      <a:pt x="536" y="107"/>
                    </a:lnTo>
                    <a:lnTo>
                      <a:pt x="536" y="107"/>
                    </a:lnTo>
                    <a:lnTo>
                      <a:pt x="536" y="116"/>
                    </a:lnTo>
                    <a:lnTo>
                      <a:pt x="536" y="116"/>
                    </a:lnTo>
                    <a:lnTo>
                      <a:pt x="536" y="116"/>
                    </a:lnTo>
                    <a:lnTo>
                      <a:pt x="536" y="125"/>
                    </a:lnTo>
                    <a:lnTo>
                      <a:pt x="536" y="125"/>
                    </a:lnTo>
                    <a:lnTo>
                      <a:pt x="536" y="125"/>
                    </a:lnTo>
                    <a:lnTo>
                      <a:pt x="536" y="134"/>
                    </a:lnTo>
                    <a:lnTo>
                      <a:pt x="536" y="134"/>
                    </a:lnTo>
                    <a:lnTo>
                      <a:pt x="536" y="134"/>
                    </a:lnTo>
                    <a:lnTo>
                      <a:pt x="536" y="134"/>
                    </a:lnTo>
                    <a:lnTo>
                      <a:pt x="536" y="134"/>
                    </a:lnTo>
                    <a:lnTo>
                      <a:pt x="527" y="134"/>
                    </a:lnTo>
                    <a:lnTo>
                      <a:pt x="527" y="134"/>
                    </a:lnTo>
                    <a:lnTo>
                      <a:pt x="527" y="134"/>
                    </a:lnTo>
                    <a:lnTo>
                      <a:pt x="527" y="134"/>
                    </a:lnTo>
                    <a:lnTo>
                      <a:pt x="518" y="134"/>
                    </a:lnTo>
                    <a:lnTo>
                      <a:pt x="518" y="134"/>
                    </a:lnTo>
                    <a:lnTo>
                      <a:pt x="518" y="134"/>
                    </a:lnTo>
                    <a:lnTo>
                      <a:pt x="518" y="134"/>
                    </a:lnTo>
                    <a:lnTo>
                      <a:pt x="518" y="134"/>
                    </a:lnTo>
                    <a:lnTo>
                      <a:pt x="518" y="134"/>
                    </a:lnTo>
                    <a:lnTo>
                      <a:pt x="518" y="134"/>
                    </a:lnTo>
                    <a:lnTo>
                      <a:pt x="518" y="143"/>
                    </a:lnTo>
                    <a:lnTo>
                      <a:pt x="518" y="143"/>
                    </a:lnTo>
                    <a:lnTo>
                      <a:pt x="518" y="143"/>
                    </a:lnTo>
                    <a:lnTo>
                      <a:pt x="510" y="143"/>
                    </a:lnTo>
                    <a:lnTo>
                      <a:pt x="510" y="143"/>
                    </a:lnTo>
                    <a:lnTo>
                      <a:pt x="510" y="143"/>
                    </a:lnTo>
                    <a:lnTo>
                      <a:pt x="510" y="152"/>
                    </a:lnTo>
                    <a:lnTo>
                      <a:pt x="510" y="152"/>
                    </a:lnTo>
                    <a:lnTo>
                      <a:pt x="510" y="152"/>
                    </a:lnTo>
                    <a:lnTo>
                      <a:pt x="510" y="152"/>
                    </a:lnTo>
                    <a:lnTo>
                      <a:pt x="510" y="152"/>
                    </a:lnTo>
                    <a:lnTo>
                      <a:pt x="501" y="152"/>
                    </a:lnTo>
                    <a:lnTo>
                      <a:pt x="501" y="161"/>
                    </a:lnTo>
                    <a:lnTo>
                      <a:pt x="501" y="161"/>
                    </a:lnTo>
                    <a:lnTo>
                      <a:pt x="501" y="161"/>
                    </a:lnTo>
                    <a:lnTo>
                      <a:pt x="492" y="161"/>
                    </a:lnTo>
                    <a:lnTo>
                      <a:pt x="492" y="161"/>
                    </a:lnTo>
                    <a:lnTo>
                      <a:pt x="492" y="161"/>
                    </a:lnTo>
                    <a:lnTo>
                      <a:pt x="483" y="161"/>
                    </a:lnTo>
                    <a:lnTo>
                      <a:pt x="483" y="170"/>
                    </a:lnTo>
                    <a:lnTo>
                      <a:pt x="474" y="170"/>
                    </a:lnTo>
                    <a:lnTo>
                      <a:pt x="474" y="170"/>
                    </a:lnTo>
                    <a:lnTo>
                      <a:pt x="465" y="178"/>
                    </a:lnTo>
                    <a:lnTo>
                      <a:pt x="465" y="178"/>
                    </a:lnTo>
                    <a:lnTo>
                      <a:pt x="465" y="178"/>
                    </a:lnTo>
                    <a:lnTo>
                      <a:pt x="456" y="178"/>
                    </a:lnTo>
                    <a:lnTo>
                      <a:pt x="456" y="187"/>
                    </a:lnTo>
                    <a:lnTo>
                      <a:pt x="447" y="187"/>
                    </a:lnTo>
                    <a:lnTo>
                      <a:pt x="447" y="187"/>
                    </a:lnTo>
                    <a:lnTo>
                      <a:pt x="447" y="187"/>
                    </a:lnTo>
                    <a:lnTo>
                      <a:pt x="438" y="187"/>
                    </a:lnTo>
                    <a:lnTo>
                      <a:pt x="438" y="187"/>
                    </a:lnTo>
                    <a:lnTo>
                      <a:pt x="438" y="196"/>
                    </a:lnTo>
                    <a:lnTo>
                      <a:pt x="429" y="196"/>
                    </a:lnTo>
                    <a:lnTo>
                      <a:pt x="429" y="196"/>
                    </a:lnTo>
                    <a:lnTo>
                      <a:pt x="429" y="196"/>
                    </a:lnTo>
                    <a:lnTo>
                      <a:pt x="429" y="196"/>
                    </a:lnTo>
                    <a:lnTo>
                      <a:pt x="420" y="196"/>
                    </a:lnTo>
                    <a:lnTo>
                      <a:pt x="420" y="196"/>
                    </a:lnTo>
                    <a:lnTo>
                      <a:pt x="420" y="196"/>
                    </a:lnTo>
                    <a:lnTo>
                      <a:pt x="411" y="196"/>
                    </a:lnTo>
                    <a:lnTo>
                      <a:pt x="411" y="196"/>
                    </a:lnTo>
                    <a:lnTo>
                      <a:pt x="411" y="196"/>
                    </a:lnTo>
                    <a:lnTo>
                      <a:pt x="411" y="196"/>
                    </a:lnTo>
                    <a:lnTo>
                      <a:pt x="402" y="196"/>
                    </a:lnTo>
                    <a:lnTo>
                      <a:pt x="402" y="196"/>
                    </a:lnTo>
                    <a:lnTo>
                      <a:pt x="402" y="196"/>
                    </a:lnTo>
                    <a:lnTo>
                      <a:pt x="393" y="196"/>
                    </a:lnTo>
                    <a:lnTo>
                      <a:pt x="393" y="196"/>
                    </a:lnTo>
                    <a:lnTo>
                      <a:pt x="393" y="196"/>
                    </a:lnTo>
                    <a:lnTo>
                      <a:pt x="384" y="196"/>
                    </a:lnTo>
                    <a:lnTo>
                      <a:pt x="384" y="196"/>
                    </a:lnTo>
                    <a:lnTo>
                      <a:pt x="384" y="196"/>
                    </a:lnTo>
                    <a:lnTo>
                      <a:pt x="376" y="196"/>
                    </a:lnTo>
                    <a:lnTo>
                      <a:pt x="376" y="196"/>
                    </a:lnTo>
                    <a:lnTo>
                      <a:pt x="367" y="196"/>
                    </a:lnTo>
                    <a:lnTo>
                      <a:pt x="367" y="196"/>
                    </a:lnTo>
                    <a:lnTo>
                      <a:pt x="367" y="196"/>
                    </a:lnTo>
                    <a:lnTo>
                      <a:pt x="358" y="196"/>
                    </a:lnTo>
                    <a:lnTo>
                      <a:pt x="358" y="196"/>
                    </a:lnTo>
                    <a:lnTo>
                      <a:pt x="358" y="196"/>
                    </a:lnTo>
                    <a:lnTo>
                      <a:pt x="349" y="196"/>
                    </a:lnTo>
                    <a:lnTo>
                      <a:pt x="349" y="196"/>
                    </a:lnTo>
                    <a:lnTo>
                      <a:pt x="349" y="196"/>
                    </a:lnTo>
                    <a:lnTo>
                      <a:pt x="340" y="196"/>
                    </a:lnTo>
                    <a:lnTo>
                      <a:pt x="340" y="196"/>
                    </a:lnTo>
                    <a:lnTo>
                      <a:pt x="340" y="196"/>
                    </a:lnTo>
                    <a:lnTo>
                      <a:pt x="331" y="196"/>
                    </a:lnTo>
                    <a:lnTo>
                      <a:pt x="331" y="196"/>
                    </a:lnTo>
                    <a:lnTo>
                      <a:pt x="331" y="187"/>
                    </a:lnTo>
                    <a:lnTo>
                      <a:pt x="331" y="187"/>
                    </a:lnTo>
                    <a:lnTo>
                      <a:pt x="322" y="187"/>
                    </a:lnTo>
                    <a:lnTo>
                      <a:pt x="322" y="187"/>
                    </a:lnTo>
                    <a:lnTo>
                      <a:pt x="322" y="187"/>
                    </a:lnTo>
                    <a:lnTo>
                      <a:pt x="313" y="187"/>
                    </a:lnTo>
                    <a:lnTo>
                      <a:pt x="313" y="187"/>
                    </a:lnTo>
                    <a:lnTo>
                      <a:pt x="313" y="187"/>
                    </a:lnTo>
                    <a:lnTo>
                      <a:pt x="304" y="187"/>
                    </a:lnTo>
                    <a:lnTo>
                      <a:pt x="304" y="187"/>
                    </a:lnTo>
                    <a:lnTo>
                      <a:pt x="304" y="187"/>
                    </a:lnTo>
                    <a:lnTo>
                      <a:pt x="295" y="187"/>
                    </a:lnTo>
                    <a:lnTo>
                      <a:pt x="295" y="187"/>
                    </a:lnTo>
                    <a:lnTo>
                      <a:pt x="295" y="187"/>
                    </a:lnTo>
                    <a:lnTo>
                      <a:pt x="295" y="178"/>
                    </a:lnTo>
                    <a:lnTo>
                      <a:pt x="286" y="178"/>
                    </a:lnTo>
                    <a:lnTo>
                      <a:pt x="286" y="178"/>
                    </a:lnTo>
                    <a:lnTo>
                      <a:pt x="286" y="178"/>
                    </a:lnTo>
                    <a:lnTo>
                      <a:pt x="286" y="178"/>
                    </a:lnTo>
                    <a:lnTo>
                      <a:pt x="277" y="178"/>
                    </a:lnTo>
                    <a:lnTo>
                      <a:pt x="277" y="178"/>
                    </a:lnTo>
                    <a:lnTo>
                      <a:pt x="277" y="178"/>
                    </a:lnTo>
                    <a:lnTo>
                      <a:pt x="277" y="178"/>
                    </a:lnTo>
                    <a:lnTo>
                      <a:pt x="268" y="178"/>
                    </a:lnTo>
                    <a:lnTo>
                      <a:pt x="268" y="178"/>
                    </a:lnTo>
                    <a:lnTo>
                      <a:pt x="268" y="178"/>
                    </a:lnTo>
                    <a:lnTo>
                      <a:pt x="268" y="178"/>
                    </a:lnTo>
                    <a:lnTo>
                      <a:pt x="268" y="178"/>
                    </a:lnTo>
                    <a:lnTo>
                      <a:pt x="259" y="178"/>
                    </a:lnTo>
                    <a:lnTo>
                      <a:pt x="259" y="178"/>
                    </a:lnTo>
                    <a:lnTo>
                      <a:pt x="259" y="178"/>
                    </a:lnTo>
                    <a:lnTo>
                      <a:pt x="259" y="178"/>
                    </a:lnTo>
                    <a:lnTo>
                      <a:pt x="259" y="178"/>
                    </a:lnTo>
                    <a:lnTo>
                      <a:pt x="251" y="178"/>
                    </a:lnTo>
                    <a:lnTo>
                      <a:pt x="251" y="178"/>
                    </a:lnTo>
                    <a:lnTo>
                      <a:pt x="251" y="178"/>
                    </a:lnTo>
                    <a:lnTo>
                      <a:pt x="251" y="178"/>
                    </a:lnTo>
                    <a:lnTo>
                      <a:pt x="251" y="178"/>
                    </a:lnTo>
                    <a:lnTo>
                      <a:pt x="251" y="170"/>
                    </a:lnTo>
                    <a:lnTo>
                      <a:pt x="251" y="170"/>
                    </a:lnTo>
                    <a:lnTo>
                      <a:pt x="251" y="170"/>
                    </a:lnTo>
                    <a:lnTo>
                      <a:pt x="242" y="170"/>
                    </a:lnTo>
                    <a:lnTo>
                      <a:pt x="242" y="170"/>
                    </a:lnTo>
                    <a:lnTo>
                      <a:pt x="242" y="170"/>
                    </a:lnTo>
                    <a:lnTo>
                      <a:pt x="242" y="161"/>
                    </a:lnTo>
                    <a:lnTo>
                      <a:pt x="242" y="161"/>
                    </a:lnTo>
                    <a:lnTo>
                      <a:pt x="242" y="161"/>
                    </a:lnTo>
                    <a:lnTo>
                      <a:pt x="242" y="161"/>
                    </a:lnTo>
                    <a:lnTo>
                      <a:pt x="242" y="161"/>
                    </a:lnTo>
                    <a:lnTo>
                      <a:pt x="242" y="161"/>
                    </a:lnTo>
                    <a:lnTo>
                      <a:pt x="242" y="161"/>
                    </a:lnTo>
                    <a:lnTo>
                      <a:pt x="242" y="152"/>
                    </a:lnTo>
                    <a:lnTo>
                      <a:pt x="242" y="152"/>
                    </a:lnTo>
                    <a:lnTo>
                      <a:pt x="242" y="152"/>
                    </a:lnTo>
                    <a:lnTo>
                      <a:pt x="242" y="152"/>
                    </a:lnTo>
                    <a:lnTo>
                      <a:pt x="242" y="152"/>
                    </a:lnTo>
                    <a:lnTo>
                      <a:pt x="242" y="152"/>
                    </a:lnTo>
                    <a:lnTo>
                      <a:pt x="242" y="143"/>
                    </a:lnTo>
                    <a:lnTo>
                      <a:pt x="242" y="143"/>
                    </a:lnTo>
                    <a:lnTo>
                      <a:pt x="251" y="143"/>
                    </a:lnTo>
                    <a:lnTo>
                      <a:pt x="251" y="143"/>
                    </a:lnTo>
                    <a:lnTo>
                      <a:pt x="251" y="143"/>
                    </a:lnTo>
                    <a:lnTo>
                      <a:pt x="251" y="143"/>
                    </a:lnTo>
                    <a:lnTo>
                      <a:pt x="251" y="134"/>
                    </a:lnTo>
                    <a:lnTo>
                      <a:pt x="251" y="134"/>
                    </a:lnTo>
                    <a:lnTo>
                      <a:pt x="251" y="134"/>
                    </a:lnTo>
                    <a:lnTo>
                      <a:pt x="251" y="134"/>
                    </a:lnTo>
                    <a:lnTo>
                      <a:pt x="251" y="134"/>
                    </a:lnTo>
                    <a:lnTo>
                      <a:pt x="251" y="134"/>
                    </a:lnTo>
                    <a:lnTo>
                      <a:pt x="251" y="134"/>
                    </a:lnTo>
                    <a:lnTo>
                      <a:pt x="251" y="134"/>
                    </a:lnTo>
                    <a:lnTo>
                      <a:pt x="251" y="134"/>
                    </a:lnTo>
                    <a:lnTo>
                      <a:pt x="251" y="134"/>
                    </a:lnTo>
                    <a:lnTo>
                      <a:pt x="242" y="134"/>
                    </a:lnTo>
                    <a:lnTo>
                      <a:pt x="242" y="134"/>
                    </a:lnTo>
                    <a:lnTo>
                      <a:pt x="242" y="134"/>
                    </a:lnTo>
                    <a:lnTo>
                      <a:pt x="242" y="134"/>
                    </a:lnTo>
                    <a:lnTo>
                      <a:pt x="242" y="134"/>
                    </a:lnTo>
                    <a:lnTo>
                      <a:pt x="242" y="134"/>
                    </a:lnTo>
                    <a:lnTo>
                      <a:pt x="242" y="134"/>
                    </a:lnTo>
                    <a:lnTo>
                      <a:pt x="233" y="134"/>
                    </a:lnTo>
                    <a:lnTo>
                      <a:pt x="233" y="134"/>
                    </a:lnTo>
                    <a:lnTo>
                      <a:pt x="233" y="125"/>
                    </a:lnTo>
                    <a:lnTo>
                      <a:pt x="233" y="125"/>
                    </a:lnTo>
                    <a:lnTo>
                      <a:pt x="224" y="125"/>
                    </a:lnTo>
                    <a:lnTo>
                      <a:pt x="224" y="125"/>
                    </a:lnTo>
                    <a:lnTo>
                      <a:pt x="224" y="125"/>
                    </a:lnTo>
                    <a:lnTo>
                      <a:pt x="224" y="125"/>
                    </a:lnTo>
                    <a:lnTo>
                      <a:pt x="224" y="125"/>
                    </a:lnTo>
                    <a:lnTo>
                      <a:pt x="224" y="116"/>
                    </a:lnTo>
                    <a:lnTo>
                      <a:pt x="215" y="116"/>
                    </a:lnTo>
                    <a:lnTo>
                      <a:pt x="215" y="116"/>
                    </a:lnTo>
                    <a:lnTo>
                      <a:pt x="215" y="116"/>
                    </a:lnTo>
                    <a:lnTo>
                      <a:pt x="215" y="107"/>
                    </a:lnTo>
                    <a:lnTo>
                      <a:pt x="215" y="107"/>
                    </a:lnTo>
                    <a:lnTo>
                      <a:pt x="206" y="107"/>
                    </a:lnTo>
                    <a:lnTo>
                      <a:pt x="206" y="107"/>
                    </a:lnTo>
                    <a:lnTo>
                      <a:pt x="206" y="107"/>
                    </a:lnTo>
                    <a:lnTo>
                      <a:pt x="206" y="107"/>
                    </a:lnTo>
                    <a:lnTo>
                      <a:pt x="206" y="107"/>
                    </a:lnTo>
                    <a:lnTo>
                      <a:pt x="206" y="98"/>
                    </a:lnTo>
                    <a:lnTo>
                      <a:pt x="206" y="98"/>
                    </a:lnTo>
                    <a:lnTo>
                      <a:pt x="188" y="98"/>
                    </a:lnTo>
                    <a:lnTo>
                      <a:pt x="161" y="98"/>
                    </a:lnTo>
                    <a:lnTo>
                      <a:pt x="134" y="98"/>
                    </a:lnTo>
                    <a:lnTo>
                      <a:pt x="108" y="98"/>
                    </a:lnTo>
                    <a:lnTo>
                      <a:pt x="81" y="98"/>
                    </a:lnTo>
                    <a:lnTo>
                      <a:pt x="54" y="98"/>
                    </a:lnTo>
                    <a:lnTo>
                      <a:pt x="45" y="107"/>
                    </a:lnTo>
                    <a:lnTo>
                      <a:pt x="45" y="116"/>
                    </a:lnTo>
                    <a:lnTo>
                      <a:pt x="36" y="125"/>
                    </a:lnTo>
                    <a:lnTo>
                      <a:pt x="45" y="125"/>
                    </a:lnTo>
                    <a:lnTo>
                      <a:pt x="45" y="152"/>
                    </a:lnTo>
                    <a:lnTo>
                      <a:pt x="45" y="178"/>
                    </a:lnTo>
                    <a:lnTo>
                      <a:pt x="36" y="277"/>
                    </a:lnTo>
                    <a:lnTo>
                      <a:pt x="45" y="295"/>
                    </a:lnTo>
                    <a:lnTo>
                      <a:pt x="63" y="303"/>
                    </a:lnTo>
                    <a:lnTo>
                      <a:pt x="81" y="321"/>
                    </a:lnTo>
                    <a:lnTo>
                      <a:pt x="90" y="339"/>
                    </a:lnTo>
                    <a:lnTo>
                      <a:pt x="81" y="357"/>
                    </a:lnTo>
                    <a:lnTo>
                      <a:pt x="81" y="375"/>
                    </a:lnTo>
                    <a:lnTo>
                      <a:pt x="72" y="384"/>
                    </a:lnTo>
                    <a:lnTo>
                      <a:pt x="45" y="384"/>
                    </a:lnTo>
                    <a:lnTo>
                      <a:pt x="27" y="384"/>
                    </a:lnTo>
                    <a:lnTo>
                      <a:pt x="27" y="384"/>
                    </a:lnTo>
                    <a:lnTo>
                      <a:pt x="18" y="393"/>
                    </a:lnTo>
                    <a:lnTo>
                      <a:pt x="0" y="393"/>
                    </a:lnTo>
                    <a:lnTo>
                      <a:pt x="0" y="411"/>
                    </a:lnTo>
                    <a:lnTo>
                      <a:pt x="0" y="446"/>
                    </a:lnTo>
                    <a:lnTo>
                      <a:pt x="0" y="455"/>
                    </a:lnTo>
                    <a:lnTo>
                      <a:pt x="0" y="464"/>
                    </a:lnTo>
                    <a:lnTo>
                      <a:pt x="18" y="473"/>
                    </a:lnTo>
                    <a:lnTo>
                      <a:pt x="36" y="482"/>
                    </a:lnTo>
                    <a:lnTo>
                      <a:pt x="54" y="482"/>
                    </a:lnTo>
                    <a:lnTo>
                      <a:pt x="63" y="491"/>
                    </a:lnTo>
                    <a:lnTo>
                      <a:pt x="63" y="500"/>
                    </a:lnTo>
                    <a:lnTo>
                      <a:pt x="54" y="518"/>
                    </a:lnTo>
                    <a:lnTo>
                      <a:pt x="54" y="518"/>
                    </a:lnTo>
                    <a:lnTo>
                      <a:pt x="63" y="527"/>
                    </a:lnTo>
                    <a:lnTo>
                      <a:pt x="72" y="527"/>
                    </a:lnTo>
                    <a:lnTo>
                      <a:pt x="81" y="545"/>
                    </a:lnTo>
                    <a:lnTo>
                      <a:pt x="72" y="545"/>
                    </a:lnTo>
                    <a:lnTo>
                      <a:pt x="81" y="562"/>
                    </a:lnTo>
                    <a:lnTo>
                      <a:pt x="90" y="553"/>
                    </a:lnTo>
                    <a:lnTo>
                      <a:pt x="99" y="571"/>
                    </a:lnTo>
                    <a:lnTo>
                      <a:pt x="108" y="580"/>
                    </a:lnTo>
                    <a:lnTo>
                      <a:pt x="117" y="589"/>
                    </a:lnTo>
                    <a:lnTo>
                      <a:pt x="125" y="598"/>
                    </a:lnTo>
                    <a:lnTo>
                      <a:pt x="125" y="616"/>
                    </a:lnTo>
                    <a:lnTo>
                      <a:pt x="134" y="616"/>
                    </a:lnTo>
                    <a:lnTo>
                      <a:pt x="143" y="625"/>
                    </a:lnTo>
                    <a:lnTo>
                      <a:pt x="143" y="643"/>
                    </a:lnTo>
                    <a:lnTo>
                      <a:pt x="143" y="661"/>
                    </a:lnTo>
                    <a:lnTo>
                      <a:pt x="152" y="661"/>
                    </a:lnTo>
                    <a:lnTo>
                      <a:pt x="170" y="661"/>
                    </a:lnTo>
                    <a:lnTo>
                      <a:pt x="179" y="670"/>
                    </a:lnTo>
                    <a:lnTo>
                      <a:pt x="188" y="678"/>
                    </a:lnTo>
                    <a:lnTo>
                      <a:pt x="197" y="687"/>
                    </a:lnTo>
                    <a:lnTo>
                      <a:pt x="215" y="696"/>
                    </a:lnTo>
                    <a:lnTo>
                      <a:pt x="233" y="696"/>
                    </a:lnTo>
                    <a:lnTo>
                      <a:pt x="251" y="696"/>
                    </a:lnTo>
                    <a:lnTo>
                      <a:pt x="251" y="687"/>
                    </a:lnTo>
                    <a:lnTo>
                      <a:pt x="251" y="678"/>
                    </a:lnTo>
                    <a:lnTo>
                      <a:pt x="268" y="661"/>
                    </a:lnTo>
                    <a:lnTo>
                      <a:pt x="286" y="661"/>
                    </a:lnTo>
                    <a:lnTo>
                      <a:pt x="295" y="661"/>
                    </a:lnTo>
                    <a:lnTo>
                      <a:pt x="304" y="643"/>
                    </a:lnTo>
                    <a:lnTo>
                      <a:pt x="322" y="634"/>
                    </a:lnTo>
                    <a:lnTo>
                      <a:pt x="322" y="625"/>
                    </a:lnTo>
                    <a:lnTo>
                      <a:pt x="331" y="598"/>
                    </a:lnTo>
                    <a:lnTo>
                      <a:pt x="331" y="580"/>
                    </a:lnTo>
                    <a:lnTo>
                      <a:pt x="340" y="562"/>
                    </a:lnTo>
                    <a:lnTo>
                      <a:pt x="358" y="545"/>
                    </a:lnTo>
                    <a:lnTo>
                      <a:pt x="376" y="545"/>
                    </a:lnTo>
                    <a:lnTo>
                      <a:pt x="393" y="545"/>
                    </a:lnTo>
                    <a:lnTo>
                      <a:pt x="393" y="562"/>
                    </a:lnTo>
                    <a:lnTo>
                      <a:pt x="402" y="580"/>
                    </a:lnTo>
                    <a:lnTo>
                      <a:pt x="393" y="598"/>
                    </a:lnTo>
                    <a:lnTo>
                      <a:pt x="402" y="616"/>
                    </a:lnTo>
                    <a:lnTo>
                      <a:pt x="402" y="643"/>
                    </a:lnTo>
                    <a:lnTo>
                      <a:pt x="402" y="652"/>
                    </a:lnTo>
                    <a:lnTo>
                      <a:pt x="411" y="661"/>
                    </a:lnTo>
                    <a:lnTo>
                      <a:pt x="420" y="670"/>
                    </a:lnTo>
                    <a:lnTo>
                      <a:pt x="438" y="661"/>
                    </a:lnTo>
                    <a:lnTo>
                      <a:pt x="438" y="670"/>
                    </a:lnTo>
                    <a:lnTo>
                      <a:pt x="447" y="678"/>
                    </a:lnTo>
                    <a:lnTo>
                      <a:pt x="456" y="687"/>
                    </a:lnTo>
                    <a:lnTo>
                      <a:pt x="483" y="687"/>
                    </a:lnTo>
                    <a:lnTo>
                      <a:pt x="501" y="687"/>
                    </a:lnTo>
                    <a:lnTo>
                      <a:pt x="510" y="696"/>
                    </a:lnTo>
                    <a:lnTo>
                      <a:pt x="518" y="714"/>
                    </a:lnTo>
                    <a:lnTo>
                      <a:pt x="536" y="732"/>
                    </a:lnTo>
                  </a:path>
                </a:pathLst>
              </a:custGeom>
              <a:solidFill>
                <a:schemeClr val="tx2">
                  <a:lumMod val="75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57" name="Freeform 64">
                <a:extLst>
                  <a:ext uri="{FF2B5EF4-FFF2-40B4-BE49-F238E27FC236}">
                    <a16:creationId xmlns:a16="http://schemas.microsoft.com/office/drawing/2014/main" id="{7BE648D0-623F-40D1-BD30-44D093D99B8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7791" y="9045"/>
                <a:ext cx="318" cy="296"/>
              </a:xfrm>
              <a:custGeom>
                <a:avLst/>
                <a:gdLst>
                  <a:gd name="T0" fmla="*/ 18 w 143"/>
                  <a:gd name="T1" fmla="*/ 0 h 125"/>
                  <a:gd name="T2" fmla="*/ 27 w 143"/>
                  <a:gd name="T3" fmla="*/ 9 h 125"/>
                  <a:gd name="T4" fmla="*/ 27 w 143"/>
                  <a:gd name="T5" fmla="*/ 9 h 125"/>
                  <a:gd name="T6" fmla="*/ 27 w 143"/>
                  <a:gd name="T7" fmla="*/ 9 h 125"/>
                  <a:gd name="T8" fmla="*/ 36 w 143"/>
                  <a:gd name="T9" fmla="*/ 18 h 125"/>
                  <a:gd name="T10" fmla="*/ 36 w 143"/>
                  <a:gd name="T11" fmla="*/ 18 h 125"/>
                  <a:gd name="T12" fmla="*/ 45 w 143"/>
                  <a:gd name="T13" fmla="*/ 18 h 125"/>
                  <a:gd name="T14" fmla="*/ 45 w 143"/>
                  <a:gd name="T15" fmla="*/ 18 h 125"/>
                  <a:gd name="T16" fmla="*/ 53 w 143"/>
                  <a:gd name="T17" fmla="*/ 18 h 125"/>
                  <a:gd name="T18" fmla="*/ 53 w 143"/>
                  <a:gd name="T19" fmla="*/ 18 h 125"/>
                  <a:gd name="T20" fmla="*/ 53 w 143"/>
                  <a:gd name="T21" fmla="*/ 18 h 125"/>
                  <a:gd name="T22" fmla="*/ 53 w 143"/>
                  <a:gd name="T23" fmla="*/ 27 h 125"/>
                  <a:gd name="T24" fmla="*/ 62 w 143"/>
                  <a:gd name="T25" fmla="*/ 27 h 125"/>
                  <a:gd name="T26" fmla="*/ 71 w 143"/>
                  <a:gd name="T27" fmla="*/ 36 h 125"/>
                  <a:gd name="T28" fmla="*/ 71 w 143"/>
                  <a:gd name="T29" fmla="*/ 36 h 125"/>
                  <a:gd name="T30" fmla="*/ 80 w 143"/>
                  <a:gd name="T31" fmla="*/ 36 h 125"/>
                  <a:gd name="T32" fmla="*/ 89 w 143"/>
                  <a:gd name="T33" fmla="*/ 45 h 125"/>
                  <a:gd name="T34" fmla="*/ 98 w 143"/>
                  <a:gd name="T35" fmla="*/ 45 h 125"/>
                  <a:gd name="T36" fmla="*/ 107 w 143"/>
                  <a:gd name="T37" fmla="*/ 45 h 125"/>
                  <a:gd name="T38" fmla="*/ 116 w 143"/>
                  <a:gd name="T39" fmla="*/ 54 h 125"/>
                  <a:gd name="T40" fmla="*/ 116 w 143"/>
                  <a:gd name="T41" fmla="*/ 54 h 125"/>
                  <a:gd name="T42" fmla="*/ 125 w 143"/>
                  <a:gd name="T43" fmla="*/ 54 h 125"/>
                  <a:gd name="T44" fmla="*/ 134 w 143"/>
                  <a:gd name="T45" fmla="*/ 54 h 125"/>
                  <a:gd name="T46" fmla="*/ 134 w 143"/>
                  <a:gd name="T47" fmla="*/ 63 h 125"/>
                  <a:gd name="T48" fmla="*/ 143 w 143"/>
                  <a:gd name="T49" fmla="*/ 63 h 125"/>
                  <a:gd name="T50" fmla="*/ 143 w 143"/>
                  <a:gd name="T51" fmla="*/ 63 h 125"/>
                  <a:gd name="T52" fmla="*/ 143 w 143"/>
                  <a:gd name="T53" fmla="*/ 71 h 125"/>
                  <a:gd name="T54" fmla="*/ 143 w 143"/>
                  <a:gd name="T55" fmla="*/ 71 h 125"/>
                  <a:gd name="T56" fmla="*/ 134 w 143"/>
                  <a:gd name="T57" fmla="*/ 80 h 125"/>
                  <a:gd name="T58" fmla="*/ 134 w 143"/>
                  <a:gd name="T59" fmla="*/ 89 h 125"/>
                  <a:gd name="T60" fmla="*/ 134 w 143"/>
                  <a:gd name="T61" fmla="*/ 89 h 125"/>
                  <a:gd name="T62" fmla="*/ 134 w 143"/>
                  <a:gd name="T63" fmla="*/ 89 h 125"/>
                  <a:gd name="T64" fmla="*/ 125 w 143"/>
                  <a:gd name="T65" fmla="*/ 98 h 125"/>
                  <a:gd name="T66" fmla="*/ 116 w 143"/>
                  <a:gd name="T67" fmla="*/ 107 h 125"/>
                  <a:gd name="T68" fmla="*/ 116 w 143"/>
                  <a:gd name="T69" fmla="*/ 116 h 125"/>
                  <a:gd name="T70" fmla="*/ 107 w 143"/>
                  <a:gd name="T71" fmla="*/ 116 h 125"/>
                  <a:gd name="T72" fmla="*/ 89 w 143"/>
                  <a:gd name="T73" fmla="*/ 125 h 125"/>
                  <a:gd name="T74" fmla="*/ 80 w 143"/>
                  <a:gd name="T75" fmla="*/ 125 h 125"/>
                  <a:gd name="T76" fmla="*/ 62 w 143"/>
                  <a:gd name="T77" fmla="*/ 125 h 125"/>
                  <a:gd name="T78" fmla="*/ 53 w 143"/>
                  <a:gd name="T79" fmla="*/ 125 h 125"/>
                  <a:gd name="T80" fmla="*/ 36 w 143"/>
                  <a:gd name="T81" fmla="*/ 125 h 125"/>
                  <a:gd name="T82" fmla="*/ 27 w 143"/>
                  <a:gd name="T83" fmla="*/ 116 h 125"/>
                  <a:gd name="T84" fmla="*/ 18 w 143"/>
                  <a:gd name="T85" fmla="*/ 107 h 125"/>
                  <a:gd name="T86" fmla="*/ 18 w 143"/>
                  <a:gd name="T87" fmla="*/ 98 h 125"/>
                  <a:gd name="T88" fmla="*/ 18 w 143"/>
                  <a:gd name="T89" fmla="*/ 89 h 125"/>
                  <a:gd name="T90" fmla="*/ 9 w 143"/>
                  <a:gd name="T91" fmla="*/ 80 h 125"/>
                  <a:gd name="T92" fmla="*/ 9 w 143"/>
                  <a:gd name="T93" fmla="*/ 71 h 125"/>
                  <a:gd name="T94" fmla="*/ 0 w 143"/>
                  <a:gd name="T95" fmla="*/ 71 h 125"/>
                  <a:gd name="T96" fmla="*/ 0 w 143"/>
                  <a:gd name="T97" fmla="*/ 63 h 125"/>
                  <a:gd name="T98" fmla="*/ 0 w 143"/>
                  <a:gd name="T99" fmla="*/ 45 h 125"/>
                  <a:gd name="T100" fmla="*/ 0 w 143"/>
                  <a:gd name="T101" fmla="*/ 45 h 125"/>
                  <a:gd name="T102" fmla="*/ 0 w 143"/>
                  <a:gd name="T103" fmla="*/ 36 h 125"/>
                  <a:gd name="T104" fmla="*/ 0 w 143"/>
                  <a:gd name="T105" fmla="*/ 27 h 125"/>
                  <a:gd name="T106" fmla="*/ 0 w 143"/>
                  <a:gd name="T107" fmla="*/ 18 h 125"/>
                  <a:gd name="T108" fmla="*/ 9 w 143"/>
                  <a:gd name="T109" fmla="*/ 18 h 125"/>
                  <a:gd name="T110" fmla="*/ 9 w 143"/>
                  <a:gd name="T111" fmla="*/ 9 h 12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</a:cxnLst>
                <a:rect l="0" t="0" r="r" b="b"/>
                <a:pathLst>
                  <a:path w="143" h="125">
                    <a:moveTo>
                      <a:pt x="9" y="9"/>
                    </a:moveTo>
                    <a:lnTo>
                      <a:pt x="9" y="9"/>
                    </a:lnTo>
                    <a:lnTo>
                      <a:pt x="18" y="9"/>
                    </a:lnTo>
                    <a:lnTo>
                      <a:pt x="18" y="0"/>
                    </a:lnTo>
                    <a:lnTo>
                      <a:pt x="18" y="0"/>
                    </a:lnTo>
                    <a:lnTo>
                      <a:pt x="18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36" y="9"/>
                    </a:lnTo>
                    <a:lnTo>
                      <a:pt x="36" y="9"/>
                    </a:lnTo>
                    <a:lnTo>
                      <a:pt x="36" y="18"/>
                    </a:lnTo>
                    <a:lnTo>
                      <a:pt x="36" y="18"/>
                    </a:lnTo>
                    <a:lnTo>
                      <a:pt x="36" y="18"/>
                    </a:lnTo>
                    <a:lnTo>
                      <a:pt x="36" y="18"/>
                    </a:lnTo>
                    <a:lnTo>
                      <a:pt x="36" y="18"/>
                    </a:lnTo>
                    <a:lnTo>
                      <a:pt x="36" y="18"/>
                    </a:lnTo>
                    <a:lnTo>
                      <a:pt x="36" y="18"/>
                    </a:lnTo>
                    <a:lnTo>
                      <a:pt x="36" y="18"/>
                    </a:lnTo>
                    <a:lnTo>
                      <a:pt x="45" y="18"/>
                    </a:lnTo>
                    <a:lnTo>
                      <a:pt x="45" y="18"/>
                    </a:lnTo>
                    <a:lnTo>
                      <a:pt x="45" y="18"/>
                    </a:lnTo>
                    <a:lnTo>
                      <a:pt x="45" y="18"/>
                    </a:lnTo>
                    <a:lnTo>
                      <a:pt x="45" y="18"/>
                    </a:lnTo>
                    <a:lnTo>
                      <a:pt x="45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27"/>
                    </a:lnTo>
                    <a:lnTo>
                      <a:pt x="62" y="27"/>
                    </a:lnTo>
                    <a:lnTo>
                      <a:pt x="62" y="27"/>
                    </a:lnTo>
                    <a:lnTo>
                      <a:pt x="62" y="27"/>
                    </a:lnTo>
                    <a:lnTo>
                      <a:pt x="62" y="27"/>
                    </a:lnTo>
                    <a:lnTo>
                      <a:pt x="62" y="27"/>
                    </a:lnTo>
                    <a:lnTo>
                      <a:pt x="62" y="27"/>
                    </a:lnTo>
                    <a:lnTo>
                      <a:pt x="71" y="27"/>
                    </a:lnTo>
                    <a:lnTo>
                      <a:pt x="71" y="36"/>
                    </a:lnTo>
                    <a:lnTo>
                      <a:pt x="71" y="36"/>
                    </a:lnTo>
                    <a:lnTo>
                      <a:pt x="71" y="36"/>
                    </a:lnTo>
                    <a:lnTo>
                      <a:pt x="71" y="36"/>
                    </a:lnTo>
                    <a:lnTo>
                      <a:pt x="71" y="36"/>
                    </a:lnTo>
                    <a:lnTo>
                      <a:pt x="71" y="36"/>
                    </a:lnTo>
                    <a:lnTo>
                      <a:pt x="71" y="36"/>
                    </a:lnTo>
                    <a:lnTo>
                      <a:pt x="80" y="36"/>
                    </a:lnTo>
                    <a:lnTo>
                      <a:pt x="80" y="36"/>
                    </a:lnTo>
                    <a:lnTo>
                      <a:pt x="80" y="45"/>
                    </a:lnTo>
                    <a:lnTo>
                      <a:pt x="80" y="45"/>
                    </a:lnTo>
                    <a:lnTo>
                      <a:pt x="80" y="45"/>
                    </a:lnTo>
                    <a:lnTo>
                      <a:pt x="89" y="45"/>
                    </a:lnTo>
                    <a:lnTo>
                      <a:pt x="89" y="45"/>
                    </a:lnTo>
                    <a:lnTo>
                      <a:pt x="89" y="45"/>
                    </a:lnTo>
                    <a:lnTo>
                      <a:pt x="98" y="45"/>
                    </a:lnTo>
                    <a:lnTo>
                      <a:pt x="98" y="45"/>
                    </a:lnTo>
                    <a:lnTo>
                      <a:pt x="98" y="45"/>
                    </a:lnTo>
                    <a:lnTo>
                      <a:pt x="98" y="45"/>
                    </a:lnTo>
                    <a:lnTo>
                      <a:pt x="107" y="45"/>
                    </a:lnTo>
                    <a:lnTo>
                      <a:pt x="107" y="45"/>
                    </a:lnTo>
                    <a:lnTo>
                      <a:pt x="107" y="54"/>
                    </a:lnTo>
                    <a:lnTo>
                      <a:pt x="107" y="54"/>
                    </a:lnTo>
                    <a:lnTo>
                      <a:pt x="107" y="54"/>
                    </a:lnTo>
                    <a:lnTo>
                      <a:pt x="116" y="54"/>
                    </a:lnTo>
                    <a:lnTo>
                      <a:pt x="116" y="54"/>
                    </a:lnTo>
                    <a:lnTo>
                      <a:pt x="116" y="54"/>
                    </a:lnTo>
                    <a:lnTo>
                      <a:pt x="116" y="54"/>
                    </a:lnTo>
                    <a:lnTo>
                      <a:pt x="116" y="54"/>
                    </a:lnTo>
                    <a:lnTo>
                      <a:pt x="116" y="54"/>
                    </a:lnTo>
                    <a:lnTo>
                      <a:pt x="125" y="54"/>
                    </a:lnTo>
                    <a:lnTo>
                      <a:pt x="125" y="54"/>
                    </a:lnTo>
                    <a:lnTo>
                      <a:pt x="125" y="54"/>
                    </a:lnTo>
                    <a:lnTo>
                      <a:pt x="125" y="54"/>
                    </a:lnTo>
                    <a:lnTo>
                      <a:pt x="125" y="54"/>
                    </a:lnTo>
                    <a:lnTo>
                      <a:pt x="134" y="54"/>
                    </a:lnTo>
                    <a:lnTo>
                      <a:pt x="134" y="54"/>
                    </a:lnTo>
                    <a:lnTo>
                      <a:pt x="134" y="54"/>
                    </a:lnTo>
                    <a:lnTo>
                      <a:pt x="134" y="54"/>
                    </a:lnTo>
                    <a:lnTo>
                      <a:pt x="134" y="63"/>
                    </a:lnTo>
                    <a:lnTo>
                      <a:pt x="134" y="63"/>
                    </a:lnTo>
                    <a:lnTo>
                      <a:pt x="134" y="63"/>
                    </a:lnTo>
                    <a:lnTo>
                      <a:pt x="134" y="63"/>
                    </a:lnTo>
                    <a:lnTo>
                      <a:pt x="143" y="63"/>
                    </a:lnTo>
                    <a:lnTo>
                      <a:pt x="143" y="63"/>
                    </a:lnTo>
                    <a:lnTo>
                      <a:pt x="143" y="63"/>
                    </a:lnTo>
                    <a:lnTo>
                      <a:pt x="143" y="63"/>
                    </a:lnTo>
                    <a:lnTo>
                      <a:pt x="143" y="63"/>
                    </a:lnTo>
                    <a:lnTo>
                      <a:pt x="143" y="63"/>
                    </a:lnTo>
                    <a:lnTo>
                      <a:pt x="143" y="71"/>
                    </a:lnTo>
                    <a:lnTo>
                      <a:pt x="143" y="71"/>
                    </a:lnTo>
                    <a:lnTo>
                      <a:pt x="143" y="71"/>
                    </a:lnTo>
                    <a:lnTo>
                      <a:pt x="143" y="71"/>
                    </a:lnTo>
                    <a:lnTo>
                      <a:pt x="143" y="71"/>
                    </a:lnTo>
                    <a:lnTo>
                      <a:pt x="143" y="71"/>
                    </a:lnTo>
                    <a:lnTo>
                      <a:pt x="143" y="71"/>
                    </a:lnTo>
                    <a:lnTo>
                      <a:pt x="143" y="71"/>
                    </a:lnTo>
                    <a:lnTo>
                      <a:pt x="143" y="71"/>
                    </a:lnTo>
                    <a:lnTo>
                      <a:pt x="143" y="80"/>
                    </a:lnTo>
                    <a:lnTo>
                      <a:pt x="134" y="80"/>
                    </a:lnTo>
                    <a:lnTo>
                      <a:pt x="134" y="80"/>
                    </a:lnTo>
                    <a:lnTo>
                      <a:pt x="134" y="80"/>
                    </a:lnTo>
                    <a:lnTo>
                      <a:pt x="134" y="80"/>
                    </a:lnTo>
                    <a:lnTo>
                      <a:pt x="134" y="80"/>
                    </a:lnTo>
                    <a:lnTo>
                      <a:pt x="134" y="89"/>
                    </a:lnTo>
                    <a:lnTo>
                      <a:pt x="134" y="89"/>
                    </a:lnTo>
                    <a:lnTo>
                      <a:pt x="134" y="89"/>
                    </a:lnTo>
                    <a:lnTo>
                      <a:pt x="134" y="89"/>
                    </a:lnTo>
                    <a:lnTo>
                      <a:pt x="134" y="89"/>
                    </a:lnTo>
                    <a:lnTo>
                      <a:pt x="134" y="89"/>
                    </a:lnTo>
                    <a:lnTo>
                      <a:pt x="134" y="89"/>
                    </a:lnTo>
                    <a:lnTo>
                      <a:pt x="134" y="89"/>
                    </a:lnTo>
                    <a:lnTo>
                      <a:pt x="134" y="89"/>
                    </a:lnTo>
                    <a:lnTo>
                      <a:pt x="125" y="98"/>
                    </a:lnTo>
                    <a:lnTo>
                      <a:pt x="125" y="98"/>
                    </a:lnTo>
                    <a:lnTo>
                      <a:pt x="125" y="98"/>
                    </a:lnTo>
                    <a:lnTo>
                      <a:pt x="125" y="98"/>
                    </a:lnTo>
                    <a:lnTo>
                      <a:pt x="125" y="98"/>
                    </a:lnTo>
                    <a:lnTo>
                      <a:pt x="125" y="107"/>
                    </a:lnTo>
                    <a:lnTo>
                      <a:pt x="116" y="107"/>
                    </a:lnTo>
                    <a:lnTo>
                      <a:pt x="116" y="107"/>
                    </a:lnTo>
                    <a:lnTo>
                      <a:pt x="116" y="107"/>
                    </a:lnTo>
                    <a:lnTo>
                      <a:pt x="116" y="107"/>
                    </a:lnTo>
                    <a:lnTo>
                      <a:pt x="116" y="116"/>
                    </a:lnTo>
                    <a:lnTo>
                      <a:pt x="116" y="116"/>
                    </a:lnTo>
                    <a:lnTo>
                      <a:pt x="107" y="116"/>
                    </a:lnTo>
                    <a:lnTo>
                      <a:pt x="107" y="116"/>
                    </a:lnTo>
                    <a:lnTo>
                      <a:pt x="107" y="116"/>
                    </a:lnTo>
                    <a:lnTo>
                      <a:pt x="107" y="116"/>
                    </a:lnTo>
                    <a:lnTo>
                      <a:pt x="98" y="116"/>
                    </a:lnTo>
                    <a:lnTo>
                      <a:pt x="98" y="116"/>
                    </a:lnTo>
                    <a:lnTo>
                      <a:pt x="98" y="116"/>
                    </a:lnTo>
                    <a:lnTo>
                      <a:pt x="89" y="125"/>
                    </a:lnTo>
                    <a:lnTo>
                      <a:pt x="89" y="125"/>
                    </a:lnTo>
                    <a:lnTo>
                      <a:pt x="89" y="125"/>
                    </a:lnTo>
                    <a:lnTo>
                      <a:pt x="80" y="125"/>
                    </a:lnTo>
                    <a:lnTo>
                      <a:pt x="80" y="125"/>
                    </a:lnTo>
                    <a:lnTo>
                      <a:pt x="71" y="125"/>
                    </a:lnTo>
                    <a:lnTo>
                      <a:pt x="71" y="125"/>
                    </a:lnTo>
                    <a:lnTo>
                      <a:pt x="71" y="125"/>
                    </a:lnTo>
                    <a:lnTo>
                      <a:pt x="62" y="125"/>
                    </a:lnTo>
                    <a:lnTo>
                      <a:pt x="62" y="125"/>
                    </a:lnTo>
                    <a:lnTo>
                      <a:pt x="53" y="125"/>
                    </a:lnTo>
                    <a:lnTo>
                      <a:pt x="53" y="125"/>
                    </a:lnTo>
                    <a:lnTo>
                      <a:pt x="53" y="125"/>
                    </a:lnTo>
                    <a:lnTo>
                      <a:pt x="45" y="125"/>
                    </a:lnTo>
                    <a:lnTo>
                      <a:pt x="45" y="125"/>
                    </a:lnTo>
                    <a:lnTo>
                      <a:pt x="45" y="125"/>
                    </a:lnTo>
                    <a:lnTo>
                      <a:pt x="36" y="125"/>
                    </a:lnTo>
                    <a:lnTo>
                      <a:pt x="36" y="125"/>
                    </a:lnTo>
                    <a:lnTo>
                      <a:pt x="36" y="125"/>
                    </a:lnTo>
                    <a:lnTo>
                      <a:pt x="27" y="125"/>
                    </a:lnTo>
                    <a:lnTo>
                      <a:pt x="27" y="116"/>
                    </a:lnTo>
                    <a:lnTo>
                      <a:pt x="27" y="116"/>
                    </a:lnTo>
                    <a:lnTo>
                      <a:pt x="27" y="116"/>
                    </a:lnTo>
                    <a:lnTo>
                      <a:pt x="18" y="116"/>
                    </a:lnTo>
                    <a:lnTo>
                      <a:pt x="18" y="107"/>
                    </a:lnTo>
                    <a:lnTo>
                      <a:pt x="18" y="107"/>
                    </a:lnTo>
                    <a:lnTo>
                      <a:pt x="18" y="107"/>
                    </a:lnTo>
                    <a:lnTo>
                      <a:pt x="18" y="98"/>
                    </a:lnTo>
                    <a:lnTo>
                      <a:pt x="18" y="98"/>
                    </a:lnTo>
                    <a:lnTo>
                      <a:pt x="18" y="98"/>
                    </a:lnTo>
                    <a:lnTo>
                      <a:pt x="18" y="98"/>
                    </a:lnTo>
                    <a:lnTo>
                      <a:pt x="18" y="89"/>
                    </a:lnTo>
                    <a:lnTo>
                      <a:pt x="18" y="89"/>
                    </a:lnTo>
                    <a:lnTo>
                      <a:pt x="18" y="89"/>
                    </a:lnTo>
                    <a:lnTo>
                      <a:pt x="18" y="89"/>
                    </a:lnTo>
                    <a:lnTo>
                      <a:pt x="9" y="89"/>
                    </a:lnTo>
                    <a:lnTo>
                      <a:pt x="9" y="80"/>
                    </a:lnTo>
                    <a:lnTo>
                      <a:pt x="9" y="80"/>
                    </a:lnTo>
                    <a:lnTo>
                      <a:pt x="9" y="80"/>
                    </a:lnTo>
                    <a:lnTo>
                      <a:pt x="9" y="80"/>
                    </a:lnTo>
                    <a:lnTo>
                      <a:pt x="9" y="71"/>
                    </a:lnTo>
                    <a:lnTo>
                      <a:pt x="9" y="71"/>
                    </a:lnTo>
                    <a:lnTo>
                      <a:pt x="0" y="71"/>
                    </a:lnTo>
                    <a:lnTo>
                      <a:pt x="0" y="71"/>
                    </a:lnTo>
                    <a:lnTo>
                      <a:pt x="0" y="71"/>
                    </a:lnTo>
                    <a:lnTo>
                      <a:pt x="0" y="63"/>
                    </a:lnTo>
                    <a:lnTo>
                      <a:pt x="0" y="63"/>
                    </a:lnTo>
                    <a:lnTo>
                      <a:pt x="0" y="63"/>
                    </a:lnTo>
                    <a:lnTo>
                      <a:pt x="0" y="63"/>
                    </a:lnTo>
                    <a:lnTo>
                      <a:pt x="0" y="54"/>
                    </a:lnTo>
                    <a:lnTo>
                      <a:pt x="0" y="54"/>
                    </a:lnTo>
                    <a:lnTo>
                      <a:pt x="0" y="54"/>
                    </a:lnTo>
                    <a:lnTo>
                      <a:pt x="0" y="45"/>
                    </a:lnTo>
                    <a:lnTo>
                      <a:pt x="0" y="45"/>
                    </a:lnTo>
                    <a:lnTo>
                      <a:pt x="0" y="45"/>
                    </a:lnTo>
                    <a:lnTo>
                      <a:pt x="0" y="45"/>
                    </a:lnTo>
                    <a:lnTo>
                      <a:pt x="0" y="45"/>
                    </a:lnTo>
                    <a:lnTo>
                      <a:pt x="0" y="36"/>
                    </a:lnTo>
                    <a:lnTo>
                      <a:pt x="0" y="36"/>
                    </a:lnTo>
                    <a:lnTo>
                      <a:pt x="0" y="36"/>
                    </a:lnTo>
                    <a:lnTo>
                      <a:pt x="0" y="36"/>
                    </a:lnTo>
                    <a:lnTo>
                      <a:pt x="0" y="36"/>
                    </a:lnTo>
                    <a:lnTo>
                      <a:pt x="0" y="27"/>
                    </a:lnTo>
                    <a:lnTo>
                      <a:pt x="0" y="27"/>
                    </a:lnTo>
                    <a:lnTo>
                      <a:pt x="0" y="27"/>
                    </a:lnTo>
                    <a:lnTo>
                      <a:pt x="0" y="27"/>
                    </a:lnTo>
                    <a:lnTo>
                      <a:pt x="0" y="27"/>
                    </a:lnTo>
                    <a:lnTo>
                      <a:pt x="0" y="27"/>
                    </a:lnTo>
                    <a:lnTo>
                      <a:pt x="0" y="18"/>
                    </a:lnTo>
                    <a:lnTo>
                      <a:pt x="0" y="18"/>
                    </a:lnTo>
                    <a:lnTo>
                      <a:pt x="0" y="18"/>
                    </a:lnTo>
                    <a:lnTo>
                      <a:pt x="0" y="18"/>
                    </a:lnTo>
                    <a:lnTo>
                      <a:pt x="9" y="18"/>
                    </a:lnTo>
                    <a:lnTo>
                      <a:pt x="9" y="9"/>
                    </a:lnTo>
                    <a:lnTo>
                      <a:pt x="9" y="9"/>
                    </a:lnTo>
                    <a:lnTo>
                      <a:pt x="9" y="9"/>
                    </a:lnTo>
                    <a:lnTo>
                      <a:pt x="9" y="9"/>
                    </a:lnTo>
                    <a:lnTo>
                      <a:pt x="9" y="9"/>
                    </a:lnTo>
                  </a:path>
                </a:pathLst>
              </a:custGeom>
              <a:solidFill>
                <a:schemeClr val="tx2">
                  <a:lumMod val="75000"/>
                </a:schemeClr>
              </a:solidFill>
              <a:ln w="15875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58" name="Freeform 65">
                <a:extLst>
                  <a:ext uri="{FF2B5EF4-FFF2-40B4-BE49-F238E27FC236}">
                    <a16:creationId xmlns:a16="http://schemas.microsoft.com/office/drawing/2014/main" id="{0AAC9484-1789-4A29-8FED-8CD84C5FB8F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138" y="9721"/>
                <a:ext cx="1764" cy="2371"/>
              </a:xfrm>
              <a:custGeom>
                <a:avLst/>
                <a:gdLst>
                  <a:gd name="T0" fmla="*/ 9 w 795"/>
                  <a:gd name="T1" fmla="*/ 580 h 1000"/>
                  <a:gd name="T2" fmla="*/ 27 w 795"/>
                  <a:gd name="T3" fmla="*/ 580 h 1000"/>
                  <a:gd name="T4" fmla="*/ 27 w 795"/>
                  <a:gd name="T5" fmla="*/ 607 h 1000"/>
                  <a:gd name="T6" fmla="*/ 36 w 795"/>
                  <a:gd name="T7" fmla="*/ 616 h 1000"/>
                  <a:gd name="T8" fmla="*/ 62 w 795"/>
                  <a:gd name="T9" fmla="*/ 616 h 1000"/>
                  <a:gd name="T10" fmla="*/ 62 w 795"/>
                  <a:gd name="T11" fmla="*/ 643 h 1000"/>
                  <a:gd name="T12" fmla="*/ 71 w 795"/>
                  <a:gd name="T13" fmla="*/ 652 h 1000"/>
                  <a:gd name="T14" fmla="*/ 89 w 795"/>
                  <a:gd name="T15" fmla="*/ 643 h 1000"/>
                  <a:gd name="T16" fmla="*/ 116 w 795"/>
                  <a:gd name="T17" fmla="*/ 661 h 1000"/>
                  <a:gd name="T18" fmla="*/ 125 w 795"/>
                  <a:gd name="T19" fmla="*/ 661 h 1000"/>
                  <a:gd name="T20" fmla="*/ 152 w 795"/>
                  <a:gd name="T21" fmla="*/ 669 h 1000"/>
                  <a:gd name="T22" fmla="*/ 179 w 795"/>
                  <a:gd name="T23" fmla="*/ 669 h 1000"/>
                  <a:gd name="T24" fmla="*/ 188 w 795"/>
                  <a:gd name="T25" fmla="*/ 696 h 1000"/>
                  <a:gd name="T26" fmla="*/ 188 w 795"/>
                  <a:gd name="T27" fmla="*/ 723 h 1000"/>
                  <a:gd name="T28" fmla="*/ 205 w 795"/>
                  <a:gd name="T29" fmla="*/ 750 h 1000"/>
                  <a:gd name="T30" fmla="*/ 232 w 795"/>
                  <a:gd name="T31" fmla="*/ 768 h 1000"/>
                  <a:gd name="T32" fmla="*/ 250 w 795"/>
                  <a:gd name="T33" fmla="*/ 794 h 1000"/>
                  <a:gd name="T34" fmla="*/ 250 w 795"/>
                  <a:gd name="T35" fmla="*/ 821 h 1000"/>
                  <a:gd name="T36" fmla="*/ 250 w 795"/>
                  <a:gd name="T37" fmla="*/ 875 h 1000"/>
                  <a:gd name="T38" fmla="*/ 259 w 795"/>
                  <a:gd name="T39" fmla="*/ 920 h 1000"/>
                  <a:gd name="T40" fmla="*/ 277 w 795"/>
                  <a:gd name="T41" fmla="*/ 928 h 1000"/>
                  <a:gd name="T42" fmla="*/ 313 w 795"/>
                  <a:gd name="T43" fmla="*/ 937 h 1000"/>
                  <a:gd name="T44" fmla="*/ 348 w 795"/>
                  <a:gd name="T45" fmla="*/ 946 h 1000"/>
                  <a:gd name="T46" fmla="*/ 375 w 795"/>
                  <a:gd name="T47" fmla="*/ 946 h 1000"/>
                  <a:gd name="T48" fmla="*/ 402 w 795"/>
                  <a:gd name="T49" fmla="*/ 964 h 1000"/>
                  <a:gd name="T50" fmla="*/ 420 w 795"/>
                  <a:gd name="T51" fmla="*/ 973 h 1000"/>
                  <a:gd name="T52" fmla="*/ 438 w 795"/>
                  <a:gd name="T53" fmla="*/ 991 h 1000"/>
                  <a:gd name="T54" fmla="*/ 455 w 795"/>
                  <a:gd name="T55" fmla="*/ 1000 h 1000"/>
                  <a:gd name="T56" fmla="*/ 455 w 795"/>
                  <a:gd name="T57" fmla="*/ 982 h 1000"/>
                  <a:gd name="T58" fmla="*/ 473 w 795"/>
                  <a:gd name="T59" fmla="*/ 982 h 1000"/>
                  <a:gd name="T60" fmla="*/ 500 w 795"/>
                  <a:gd name="T61" fmla="*/ 982 h 1000"/>
                  <a:gd name="T62" fmla="*/ 527 w 795"/>
                  <a:gd name="T63" fmla="*/ 964 h 1000"/>
                  <a:gd name="T64" fmla="*/ 491 w 795"/>
                  <a:gd name="T65" fmla="*/ 821 h 1000"/>
                  <a:gd name="T66" fmla="*/ 518 w 795"/>
                  <a:gd name="T67" fmla="*/ 678 h 1000"/>
                  <a:gd name="T68" fmla="*/ 572 w 795"/>
                  <a:gd name="T69" fmla="*/ 562 h 1000"/>
                  <a:gd name="T70" fmla="*/ 607 w 795"/>
                  <a:gd name="T71" fmla="*/ 384 h 1000"/>
                  <a:gd name="T72" fmla="*/ 706 w 795"/>
                  <a:gd name="T73" fmla="*/ 259 h 1000"/>
                  <a:gd name="T74" fmla="*/ 786 w 795"/>
                  <a:gd name="T75" fmla="*/ 223 h 1000"/>
                  <a:gd name="T76" fmla="*/ 777 w 795"/>
                  <a:gd name="T77" fmla="*/ 152 h 1000"/>
                  <a:gd name="T78" fmla="*/ 723 w 795"/>
                  <a:gd name="T79" fmla="*/ 98 h 1000"/>
                  <a:gd name="T80" fmla="*/ 670 w 795"/>
                  <a:gd name="T81" fmla="*/ 27 h 1000"/>
                  <a:gd name="T82" fmla="*/ 616 w 795"/>
                  <a:gd name="T83" fmla="*/ 18 h 1000"/>
                  <a:gd name="T84" fmla="*/ 518 w 795"/>
                  <a:gd name="T85" fmla="*/ 98 h 1000"/>
                  <a:gd name="T86" fmla="*/ 438 w 795"/>
                  <a:gd name="T87" fmla="*/ 71 h 1000"/>
                  <a:gd name="T88" fmla="*/ 357 w 795"/>
                  <a:gd name="T89" fmla="*/ 62 h 1000"/>
                  <a:gd name="T90" fmla="*/ 295 w 795"/>
                  <a:gd name="T91" fmla="*/ 107 h 1000"/>
                  <a:gd name="T92" fmla="*/ 179 w 795"/>
                  <a:gd name="T93" fmla="*/ 116 h 1000"/>
                  <a:gd name="T94" fmla="*/ 125 w 795"/>
                  <a:gd name="T95" fmla="*/ 152 h 1000"/>
                  <a:gd name="T96" fmla="*/ 152 w 795"/>
                  <a:gd name="T97" fmla="*/ 294 h 1000"/>
                  <a:gd name="T98" fmla="*/ 179 w 795"/>
                  <a:gd name="T99" fmla="*/ 348 h 1000"/>
                  <a:gd name="T100" fmla="*/ 161 w 795"/>
                  <a:gd name="T101" fmla="*/ 419 h 1000"/>
                  <a:gd name="T102" fmla="*/ 125 w 795"/>
                  <a:gd name="T103" fmla="*/ 419 h 1000"/>
                  <a:gd name="T104" fmla="*/ 98 w 795"/>
                  <a:gd name="T105" fmla="*/ 411 h 1000"/>
                  <a:gd name="T106" fmla="*/ 45 w 795"/>
                  <a:gd name="T107" fmla="*/ 402 h 1000"/>
                  <a:gd name="T108" fmla="*/ 27 w 795"/>
                  <a:gd name="T109" fmla="*/ 446 h 1000"/>
                  <a:gd name="T110" fmla="*/ 9 w 795"/>
                  <a:gd name="T111" fmla="*/ 553 h 100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</a:cxnLst>
                <a:rect l="0" t="0" r="r" b="b"/>
                <a:pathLst>
                  <a:path w="795" h="1000">
                    <a:moveTo>
                      <a:pt x="0" y="571"/>
                    </a:moveTo>
                    <a:lnTo>
                      <a:pt x="0" y="571"/>
                    </a:lnTo>
                    <a:lnTo>
                      <a:pt x="0" y="571"/>
                    </a:lnTo>
                    <a:lnTo>
                      <a:pt x="0" y="571"/>
                    </a:lnTo>
                    <a:lnTo>
                      <a:pt x="9" y="571"/>
                    </a:lnTo>
                    <a:lnTo>
                      <a:pt x="9" y="571"/>
                    </a:lnTo>
                    <a:lnTo>
                      <a:pt x="9" y="580"/>
                    </a:lnTo>
                    <a:lnTo>
                      <a:pt x="9" y="580"/>
                    </a:lnTo>
                    <a:lnTo>
                      <a:pt x="9" y="580"/>
                    </a:lnTo>
                    <a:lnTo>
                      <a:pt x="18" y="580"/>
                    </a:lnTo>
                    <a:lnTo>
                      <a:pt x="18" y="580"/>
                    </a:lnTo>
                    <a:lnTo>
                      <a:pt x="18" y="580"/>
                    </a:lnTo>
                    <a:lnTo>
                      <a:pt x="18" y="580"/>
                    </a:lnTo>
                    <a:lnTo>
                      <a:pt x="27" y="580"/>
                    </a:lnTo>
                    <a:lnTo>
                      <a:pt x="27" y="589"/>
                    </a:lnTo>
                    <a:lnTo>
                      <a:pt x="27" y="589"/>
                    </a:lnTo>
                    <a:lnTo>
                      <a:pt x="27" y="589"/>
                    </a:lnTo>
                    <a:lnTo>
                      <a:pt x="27" y="598"/>
                    </a:lnTo>
                    <a:lnTo>
                      <a:pt x="27" y="598"/>
                    </a:lnTo>
                    <a:lnTo>
                      <a:pt x="27" y="598"/>
                    </a:lnTo>
                    <a:lnTo>
                      <a:pt x="27" y="607"/>
                    </a:lnTo>
                    <a:lnTo>
                      <a:pt x="27" y="607"/>
                    </a:lnTo>
                    <a:lnTo>
                      <a:pt x="27" y="607"/>
                    </a:lnTo>
                    <a:lnTo>
                      <a:pt x="27" y="616"/>
                    </a:lnTo>
                    <a:lnTo>
                      <a:pt x="27" y="616"/>
                    </a:lnTo>
                    <a:lnTo>
                      <a:pt x="36" y="616"/>
                    </a:lnTo>
                    <a:lnTo>
                      <a:pt x="36" y="616"/>
                    </a:lnTo>
                    <a:lnTo>
                      <a:pt x="36" y="616"/>
                    </a:lnTo>
                    <a:lnTo>
                      <a:pt x="45" y="616"/>
                    </a:lnTo>
                    <a:lnTo>
                      <a:pt x="45" y="616"/>
                    </a:lnTo>
                    <a:lnTo>
                      <a:pt x="54" y="616"/>
                    </a:lnTo>
                    <a:lnTo>
                      <a:pt x="54" y="616"/>
                    </a:lnTo>
                    <a:lnTo>
                      <a:pt x="54" y="616"/>
                    </a:lnTo>
                    <a:lnTo>
                      <a:pt x="62" y="616"/>
                    </a:lnTo>
                    <a:lnTo>
                      <a:pt x="62" y="616"/>
                    </a:lnTo>
                    <a:lnTo>
                      <a:pt x="62" y="625"/>
                    </a:lnTo>
                    <a:lnTo>
                      <a:pt x="62" y="625"/>
                    </a:lnTo>
                    <a:lnTo>
                      <a:pt x="62" y="625"/>
                    </a:lnTo>
                    <a:lnTo>
                      <a:pt x="62" y="634"/>
                    </a:lnTo>
                    <a:lnTo>
                      <a:pt x="62" y="634"/>
                    </a:lnTo>
                    <a:lnTo>
                      <a:pt x="62" y="634"/>
                    </a:lnTo>
                    <a:lnTo>
                      <a:pt x="62" y="643"/>
                    </a:lnTo>
                    <a:lnTo>
                      <a:pt x="71" y="643"/>
                    </a:lnTo>
                    <a:lnTo>
                      <a:pt x="71" y="643"/>
                    </a:lnTo>
                    <a:lnTo>
                      <a:pt x="71" y="643"/>
                    </a:lnTo>
                    <a:lnTo>
                      <a:pt x="71" y="652"/>
                    </a:lnTo>
                    <a:lnTo>
                      <a:pt x="71" y="652"/>
                    </a:lnTo>
                    <a:lnTo>
                      <a:pt x="71" y="652"/>
                    </a:lnTo>
                    <a:lnTo>
                      <a:pt x="71" y="652"/>
                    </a:lnTo>
                    <a:lnTo>
                      <a:pt x="71" y="652"/>
                    </a:lnTo>
                    <a:lnTo>
                      <a:pt x="80" y="652"/>
                    </a:lnTo>
                    <a:lnTo>
                      <a:pt x="80" y="652"/>
                    </a:lnTo>
                    <a:lnTo>
                      <a:pt x="80" y="652"/>
                    </a:lnTo>
                    <a:lnTo>
                      <a:pt x="89" y="652"/>
                    </a:lnTo>
                    <a:lnTo>
                      <a:pt x="89" y="643"/>
                    </a:lnTo>
                    <a:lnTo>
                      <a:pt x="89" y="643"/>
                    </a:lnTo>
                    <a:lnTo>
                      <a:pt x="98" y="643"/>
                    </a:lnTo>
                    <a:lnTo>
                      <a:pt x="98" y="652"/>
                    </a:lnTo>
                    <a:lnTo>
                      <a:pt x="98" y="652"/>
                    </a:lnTo>
                    <a:lnTo>
                      <a:pt x="107" y="652"/>
                    </a:lnTo>
                    <a:lnTo>
                      <a:pt x="107" y="652"/>
                    </a:lnTo>
                    <a:lnTo>
                      <a:pt x="107" y="652"/>
                    </a:lnTo>
                    <a:lnTo>
                      <a:pt x="116" y="661"/>
                    </a:lnTo>
                    <a:lnTo>
                      <a:pt x="116" y="661"/>
                    </a:lnTo>
                    <a:lnTo>
                      <a:pt x="116" y="661"/>
                    </a:lnTo>
                    <a:lnTo>
                      <a:pt x="116" y="661"/>
                    </a:lnTo>
                    <a:lnTo>
                      <a:pt x="125" y="661"/>
                    </a:lnTo>
                    <a:lnTo>
                      <a:pt x="125" y="661"/>
                    </a:lnTo>
                    <a:lnTo>
                      <a:pt x="125" y="661"/>
                    </a:lnTo>
                    <a:lnTo>
                      <a:pt x="125" y="661"/>
                    </a:lnTo>
                    <a:lnTo>
                      <a:pt x="134" y="661"/>
                    </a:lnTo>
                    <a:lnTo>
                      <a:pt x="134" y="661"/>
                    </a:lnTo>
                    <a:lnTo>
                      <a:pt x="134" y="661"/>
                    </a:lnTo>
                    <a:lnTo>
                      <a:pt x="143" y="661"/>
                    </a:lnTo>
                    <a:lnTo>
                      <a:pt x="143" y="669"/>
                    </a:lnTo>
                    <a:lnTo>
                      <a:pt x="143" y="669"/>
                    </a:lnTo>
                    <a:lnTo>
                      <a:pt x="152" y="669"/>
                    </a:lnTo>
                    <a:lnTo>
                      <a:pt x="152" y="669"/>
                    </a:lnTo>
                    <a:lnTo>
                      <a:pt x="161" y="669"/>
                    </a:lnTo>
                    <a:lnTo>
                      <a:pt x="161" y="669"/>
                    </a:lnTo>
                    <a:lnTo>
                      <a:pt x="170" y="669"/>
                    </a:lnTo>
                    <a:lnTo>
                      <a:pt x="170" y="669"/>
                    </a:lnTo>
                    <a:lnTo>
                      <a:pt x="170" y="669"/>
                    </a:lnTo>
                    <a:lnTo>
                      <a:pt x="179" y="669"/>
                    </a:lnTo>
                    <a:lnTo>
                      <a:pt x="179" y="678"/>
                    </a:lnTo>
                    <a:lnTo>
                      <a:pt x="179" y="678"/>
                    </a:lnTo>
                    <a:lnTo>
                      <a:pt x="179" y="678"/>
                    </a:lnTo>
                    <a:lnTo>
                      <a:pt x="188" y="678"/>
                    </a:lnTo>
                    <a:lnTo>
                      <a:pt x="188" y="687"/>
                    </a:lnTo>
                    <a:lnTo>
                      <a:pt x="188" y="687"/>
                    </a:lnTo>
                    <a:lnTo>
                      <a:pt x="188" y="696"/>
                    </a:lnTo>
                    <a:lnTo>
                      <a:pt x="188" y="696"/>
                    </a:lnTo>
                    <a:lnTo>
                      <a:pt x="188" y="705"/>
                    </a:lnTo>
                    <a:lnTo>
                      <a:pt x="188" y="705"/>
                    </a:lnTo>
                    <a:lnTo>
                      <a:pt x="188" y="714"/>
                    </a:lnTo>
                    <a:lnTo>
                      <a:pt x="188" y="714"/>
                    </a:lnTo>
                    <a:lnTo>
                      <a:pt x="188" y="723"/>
                    </a:lnTo>
                    <a:lnTo>
                      <a:pt x="188" y="723"/>
                    </a:lnTo>
                    <a:lnTo>
                      <a:pt x="188" y="723"/>
                    </a:lnTo>
                    <a:lnTo>
                      <a:pt x="196" y="732"/>
                    </a:lnTo>
                    <a:lnTo>
                      <a:pt x="196" y="732"/>
                    </a:lnTo>
                    <a:lnTo>
                      <a:pt x="196" y="741"/>
                    </a:lnTo>
                    <a:lnTo>
                      <a:pt x="205" y="741"/>
                    </a:lnTo>
                    <a:lnTo>
                      <a:pt x="205" y="741"/>
                    </a:lnTo>
                    <a:lnTo>
                      <a:pt x="205" y="750"/>
                    </a:lnTo>
                    <a:lnTo>
                      <a:pt x="214" y="750"/>
                    </a:lnTo>
                    <a:lnTo>
                      <a:pt x="214" y="759"/>
                    </a:lnTo>
                    <a:lnTo>
                      <a:pt x="223" y="759"/>
                    </a:lnTo>
                    <a:lnTo>
                      <a:pt x="223" y="759"/>
                    </a:lnTo>
                    <a:lnTo>
                      <a:pt x="223" y="768"/>
                    </a:lnTo>
                    <a:lnTo>
                      <a:pt x="232" y="768"/>
                    </a:lnTo>
                    <a:lnTo>
                      <a:pt x="232" y="768"/>
                    </a:lnTo>
                    <a:lnTo>
                      <a:pt x="232" y="777"/>
                    </a:lnTo>
                    <a:lnTo>
                      <a:pt x="241" y="777"/>
                    </a:lnTo>
                    <a:lnTo>
                      <a:pt x="241" y="786"/>
                    </a:lnTo>
                    <a:lnTo>
                      <a:pt x="241" y="786"/>
                    </a:lnTo>
                    <a:lnTo>
                      <a:pt x="250" y="786"/>
                    </a:lnTo>
                    <a:lnTo>
                      <a:pt x="250" y="794"/>
                    </a:lnTo>
                    <a:lnTo>
                      <a:pt x="250" y="794"/>
                    </a:lnTo>
                    <a:lnTo>
                      <a:pt x="250" y="794"/>
                    </a:lnTo>
                    <a:lnTo>
                      <a:pt x="250" y="803"/>
                    </a:lnTo>
                    <a:lnTo>
                      <a:pt x="250" y="803"/>
                    </a:lnTo>
                    <a:lnTo>
                      <a:pt x="250" y="812"/>
                    </a:lnTo>
                    <a:lnTo>
                      <a:pt x="250" y="812"/>
                    </a:lnTo>
                    <a:lnTo>
                      <a:pt x="250" y="821"/>
                    </a:lnTo>
                    <a:lnTo>
                      <a:pt x="250" y="821"/>
                    </a:lnTo>
                    <a:lnTo>
                      <a:pt x="250" y="830"/>
                    </a:lnTo>
                    <a:lnTo>
                      <a:pt x="250" y="839"/>
                    </a:lnTo>
                    <a:lnTo>
                      <a:pt x="250" y="839"/>
                    </a:lnTo>
                    <a:lnTo>
                      <a:pt x="250" y="848"/>
                    </a:lnTo>
                    <a:lnTo>
                      <a:pt x="250" y="857"/>
                    </a:lnTo>
                    <a:lnTo>
                      <a:pt x="250" y="866"/>
                    </a:lnTo>
                    <a:lnTo>
                      <a:pt x="250" y="875"/>
                    </a:lnTo>
                    <a:lnTo>
                      <a:pt x="250" y="884"/>
                    </a:lnTo>
                    <a:lnTo>
                      <a:pt x="259" y="893"/>
                    </a:lnTo>
                    <a:lnTo>
                      <a:pt x="259" y="902"/>
                    </a:lnTo>
                    <a:lnTo>
                      <a:pt x="259" y="911"/>
                    </a:lnTo>
                    <a:lnTo>
                      <a:pt x="259" y="911"/>
                    </a:lnTo>
                    <a:lnTo>
                      <a:pt x="259" y="920"/>
                    </a:lnTo>
                    <a:lnTo>
                      <a:pt x="259" y="920"/>
                    </a:lnTo>
                    <a:lnTo>
                      <a:pt x="259" y="920"/>
                    </a:lnTo>
                    <a:lnTo>
                      <a:pt x="259" y="920"/>
                    </a:lnTo>
                    <a:lnTo>
                      <a:pt x="268" y="920"/>
                    </a:lnTo>
                    <a:lnTo>
                      <a:pt x="268" y="920"/>
                    </a:lnTo>
                    <a:lnTo>
                      <a:pt x="268" y="920"/>
                    </a:lnTo>
                    <a:lnTo>
                      <a:pt x="277" y="928"/>
                    </a:lnTo>
                    <a:lnTo>
                      <a:pt x="277" y="928"/>
                    </a:lnTo>
                    <a:lnTo>
                      <a:pt x="277" y="928"/>
                    </a:lnTo>
                    <a:lnTo>
                      <a:pt x="286" y="928"/>
                    </a:lnTo>
                    <a:lnTo>
                      <a:pt x="286" y="937"/>
                    </a:lnTo>
                    <a:lnTo>
                      <a:pt x="295" y="937"/>
                    </a:lnTo>
                    <a:lnTo>
                      <a:pt x="295" y="937"/>
                    </a:lnTo>
                    <a:lnTo>
                      <a:pt x="304" y="937"/>
                    </a:lnTo>
                    <a:lnTo>
                      <a:pt x="313" y="937"/>
                    </a:lnTo>
                    <a:lnTo>
                      <a:pt x="313" y="946"/>
                    </a:lnTo>
                    <a:lnTo>
                      <a:pt x="322" y="946"/>
                    </a:lnTo>
                    <a:lnTo>
                      <a:pt x="330" y="946"/>
                    </a:lnTo>
                    <a:lnTo>
                      <a:pt x="330" y="946"/>
                    </a:lnTo>
                    <a:lnTo>
                      <a:pt x="339" y="946"/>
                    </a:lnTo>
                    <a:lnTo>
                      <a:pt x="339" y="946"/>
                    </a:lnTo>
                    <a:lnTo>
                      <a:pt x="348" y="946"/>
                    </a:lnTo>
                    <a:lnTo>
                      <a:pt x="357" y="946"/>
                    </a:lnTo>
                    <a:lnTo>
                      <a:pt x="357" y="946"/>
                    </a:lnTo>
                    <a:lnTo>
                      <a:pt x="366" y="946"/>
                    </a:lnTo>
                    <a:lnTo>
                      <a:pt x="366" y="946"/>
                    </a:lnTo>
                    <a:lnTo>
                      <a:pt x="375" y="946"/>
                    </a:lnTo>
                    <a:lnTo>
                      <a:pt x="375" y="946"/>
                    </a:lnTo>
                    <a:lnTo>
                      <a:pt x="375" y="946"/>
                    </a:lnTo>
                    <a:lnTo>
                      <a:pt x="384" y="946"/>
                    </a:lnTo>
                    <a:lnTo>
                      <a:pt x="384" y="946"/>
                    </a:lnTo>
                    <a:lnTo>
                      <a:pt x="393" y="955"/>
                    </a:lnTo>
                    <a:lnTo>
                      <a:pt x="393" y="955"/>
                    </a:lnTo>
                    <a:lnTo>
                      <a:pt x="393" y="955"/>
                    </a:lnTo>
                    <a:lnTo>
                      <a:pt x="402" y="955"/>
                    </a:lnTo>
                    <a:lnTo>
                      <a:pt x="402" y="964"/>
                    </a:lnTo>
                    <a:lnTo>
                      <a:pt x="402" y="964"/>
                    </a:lnTo>
                    <a:lnTo>
                      <a:pt x="411" y="964"/>
                    </a:lnTo>
                    <a:lnTo>
                      <a:pt x="411" y="973"/>
                    </a:lnTo>
                    <a:lnTo>
                      <a:pt x="411" y="973"/>
                    </a:lnTo>
                    <a:lnTo>
                      <a:pt x="420" y="973"/>
                    </a:lnTo>
                    <a:lnTo>
                      <a:pt x="420" y="973"/>
                    </a:lnTo>
                    <a:lnTo>
                      <a:pt x="420" y="973"/>
                    </a:lnTo>
                    <a:lnTo>
                      <a:pt x="429" y="982"/>
                    </a:lnTo>
                    <a:lnTo>
                      <a:pt x="429" y="982"/>
                    </a:lnTo>
                    <a:lnTo>
                      <a:pt x="429" y="982"/>
                    </a:lnTo>
                    <a:lnTo>
                      <a:pt x="438" y="982"/>
                    </a:lnTo>
                    <a:lnTo>
                      <a:pt x="438" y="991"/>
                    </a:lnTo>
                    <a:lnTo>
                      <a:pt x="438" y="991"/>
                    </a:lnTo>
                    <a:lnTo>
                      <a:pt x="438" y="991"/>
                    </a:lnTo>
                    <a:lnTo>
                      <a:pt x="447" y="991"/>
                    </a:lnTo>
                    <a:lnTo>
                      <a:pt x="447" y="1000"/>
                    </a:lnTo>
                    <a:lnTo>
                      <a:pt x="447" y="1000"/>
                    </a:lnTo>
                    <a:lnTo>
                      <a:pt x="447" y="1000"/>
                    </a:lnTo>
                    <a:lnTo>
                      <a:pt x="455" y="1000"/>
                    </a:lnTo>
                    <a:lnTo>
                      <a:pt x="455" y="1000"/>
                    </a:lnTo>
                    <a:lnTo>
                      <a:pt x="455" y="1000"/>
                    </a:lnTo>
                    <a:lnTo>
                      <a:pt x="455" y="991"/>
                    </a:lnTo>
                    <a:lnTo>
                      <a:pt x="455" y="991"/>
                    </a:lnTo>
                    <a:lnTo>
                      <a:pt x="455" y="991"/>
                    </a:lnTo>
                    <a:lnTo>
                      <a:pt x="455" y="991"/>
                    </a:lnTo>
                    <a:lnTo>
                      <a:pt x="455" y="982"/>
                    </a:lnTo>
                    <a:lnTo>
                      <a:pt x="455" y="982"/>
                    </a:lnTo>
                    <a:lnTo>
                      <a:pt x="455" y="982"/>
                    </a:lnTo>
                    <a:lnTo>
                      <a:pt x="455" y="982"/>
                    </a:lnTo>
                    <a:lnTo>
                      <a:pt x="464" y="982"/>
                    </a:lnTo>
                    <a:lnTo>
                      <a:pt x="464" y="982"/>
                    </a:lnTo>
                    <a:lnTo>
                      <a:pt x="464" y="982"/>
                    </a:lnTo>
                    <a:lnTo>
                      <a:pt x="473" y="982"/>
                    </a:lnTo>
                    <a:lnTo>
                      <a:pt x="473" y="982"/>
                    </a:lnTo>
                    <a:lnTo>
                      <a:pt x="473" y="982"/>
                    </a:lnTo>
                    <a:lnTo>
                      <a:pt x="482" y="982"/>
                    </a:lnTo>
                    <a:lnTo>
                      <a:pt x="482" y="982"/>
                    </a:lnTo>
                    <a:lnTo>
                      <a:pt x="491" y="982"/>
                    </a:lnTo>
                    <a:lnTo>
                      <a:pt x="491" y="973"/>
                    </a:lnTo>
                    <a:lnTo>
                      <a:pt x="491" y="973"/>
                    </a:lnTo>
                    <a:lnTo>
                      <a:pt x="500" y="982"/>
                    </a:lnTo>
                    <a:lnTo>
                      <a:pt x="500" y="982"/>
                    </a:lnTo>
                    <a:lnTo>
                      <a:pt x="500" y="982"/>
                    </a:lnTo>
                    <a:lnTo>
                      <a:pt x="500" y="973"/>
                    </a:lnTo>
                    <a:lnTo>
                      <a:pt x="509" y="973"/>
                    </a:lnTo>
                    <a:lnTo>
                      <a:pt x="509" y="973"/>
                    </a:lnTo>
                    <a:lnTo>
                      <a:pt x="518" y="964"/>
                    </a:lnTo>
                    <a:lnTo>
                      <a:pt x="527" y="964"/>
                    </a:lnTo>
                    <a:lnTo>
                      <a:pt x="527" y="964"/>
                    </a:lnTo>
                    <a:lnTo>
                      <a:pt x="527" y="964"/>
                    </a:lnTo>
                    <a:lnTo>
                      <a:pt x="545" y="928"/>
                    </a:lnTo>
                    <a:lnTo>
                      <a:pt x="545" y="875"/>
                    </a:lnTo>
                    <a:lnTo>
                      <a:pt x="536" y="848"/>
                    </a:lnTo>
                    <a:lnTo>
                      <a:pt x="527" y="830"/>
                    </a:lnTo>
                    <a:lnTo>
                      <a:pt x="509" y="830"/>
                    </a:lnTo>
                    <a:lnTo>
                      <a:pt x="491" y="821"/>
                    </a:lnTo>
                    <a:lnTo>
                      <a:pt x="464" y="812"/>
                    </a:lnTo>
                    <a:lnTo>
                      <a:pt x="455" y="777"/>
                    </a:lnTo>
                    <a:lnTo>
                      <a:pt x="464" y="741"/>
                    </a:lnTo>
                    <a:lnTo>
                      <a:pt x="473" y="723"/>
                    </a:lnTo>
                    <a:lnTo>
                      <a:pt x="500" y="705"/>
                    </a:lnTo>
                    <a:lnTo>
                      <a:pt x="518" y="687"/>
                    </a:lnTo>
                    <a:lnTo>
                      <a:pt x="518" y="678"/>
                    </a:lnTo>
                    <a:lnTo>
                      <a:pt x="518" y="661"/>
                    </a:lnTo>
                    <a:lnTo>
                      <a:pt x="509" y="643"/>
                    </a:lnTo>
                    <a:lnTo>
                      <a:pt x="518" y="634"/>
                    </a:lnTo>
                    <a:lnTo>
                      <a:pt x="527" y="625"/>
                    </a:lnTo>
                    <a:lnTo>
                      <a:pt x="545" y="589"/>
                    </a:lnTo>
                    <a:lnTo>
                      <a:pt x="554" y="571"/>
                    </a:lnTo>
                    <a:lnTo>
                      <a:pt x="572" y="562"/>
                    </a:lnTo>
                    <a:lnTo>
                      <a:pt x="563" y="536"/>
                    </a:lnTo>
                    <a:lnTo>
                      <a:pt x="581" y="536"/>
                    </a:lnTo>
                    <a:lnTo>
                      <a:pt x="581" y="509"/>
                    </a:lnTo>
                    <a:lnTo>
                      <a:pt x="589" y="482"/>
                    </a:lnTo>
                    <a:lnTo>
                      <a:pt x="607" y="455"/>
                    </a:lnTo>
                    <a:lnTo>
                      <a:pt x="607" y="411"/>
                    </a:lnTo>
                    <a:lnTo>
                      <a:pt x="607" y="384"/>
                    </a:lnTo>
                    <a:lnTo>
                      <a:pt x="616" y="348"/>
                    </a:lnTo>
                    <a:lnTo>
                      <a:pt x="616" y="330"/>
                    </a:lnTo>
                    <a:lnTo>
                      <a:pt x="634" y="312"/>
                    </a:lnTo>
                    <a:lnTo>
                      <a:pt x="661" y="303"/>
                    </a:lnTo>
                    <a:lnTo>
                      <a:pt x="688" y="286"/>
                    </a:lnTo>
                    <a:lnTo>
                      <a:pt x="697" y="277"/>
                    </a:lnTo>
                    <a:lnTo>
                      <a:pt x="706" y="259"/>
                    </a:lnTo>
                    <a:lnTo>
                      <a:pt x="723" y="268"/>
                    </a:lnTo>
                    <a:lnTo>
                      <a:pt x="750" y="277"/>
                    </a:lnTo>
                    <a:lnTo>
                      <a:pt x="768" y="277"/>
                    </a:lnTo>
                    <a:lnTo>
                      <a:pt x="777" y="268"/>
                    </a:lnTo>
                    <a:lnTo>
                      <a:pt x="777" y="250"/>
                    </a:lnTo>
                    <a:lnTo>
                      <a:pt x="795" y="250"/>
                    </a:lnTo>
                    <a:lnTo>
                      <a:pt x="786" y="223"/>
                    </a:lnTo>
                    <a:lnTo>
                      <a:pt x="777" y="205"/>
                    </a:lnTo>
                    <a:lnTo>
                      <a:pt x="777" y="187"/>
                    </a:lnTo>
                    <a:lnTo>
                      <a:pt x="786" y="178"/>
                    </a:lnTo>
                    <a:lnTo>
                      <a:pt x="795" y="169"/>
                    </a:lnTo>
                    <a:lnTo>
                      <a:pt x="795" y="169"/>
                    </a:lnTo>
                    <a:lnTo>
                      <a:pt x="786" y="160"/>
                    </a:lnTo>
                    <a:lnTo>
                      <a:pt x="777" y="152"/>
                    </a:lnTo>
                    <a:lnTo>
                      <a:pt x="768" y="143"/>
                    </a:lnTo>
                    <a:lnTo>
                      <a:pt x="750" y="143"/>
                    </a:lnTo>
                    <a:lnTo>
                      <a:pt x="741" y="143"/>
                    </a:lnTo>
                    <a:lnTo>
                      <a:pt x="741" y="125"/>
                    </a:lnTo>
                    <a:lnTo>
                      <a:pt x="741" y="107"/>
                    </a:lnTo>
                    <a:lnTo>
                      <a:pt x="732" y="98"/>
                    </a:lnTo>
                    <a:lnTo>
                      <a:pt x="723" y="98"/>
                    </a:lnTo>
                    <a:lnTo>
                      <a:pt x="723" y="80"/>
                    </a:lnTo>
                    <a:lnTo>
                      <a:pt x="715" y="71"/>
                    </a:lnTo>
                    <a:lnTo>
                      <a:pt x="706" y="62"/>
                    </a:lnTo>
                    <a:lnTo>
                      <a:pt x="697" y="53"/>
                    </a:lnTo>
                    <a:lnTo>
                      <a:pt x="688" y="35"/>
                    </a:lnTo>
                    <a:lnTo>
                      <a:pt x="679" y="44"/>
                    </a:lnTo>
                    <a:lnTo>
                      <a:pt x="670" y="27"/>
                    </a:lnTo>
                    <a:lnTo>
                      <a:pt x="679" y="27"/>
                    </a:lnTo>
                    <a:lnTo>
                      <a:pt x="670" y="9"/>
                    </a:lnTo>
                    <a:lnTo>
                      <a:pt x="661" y="9"/>
                    </a:lnTo>
                    <a:lnTo>
                      <a:pt x="652" y="0"/>
                    </a:lnTo>
                    <a:lnTo>
                      <a:pt x="634" y="9"/>
                    </a:lnTo>
                    <a:lnTo>
                      <a:pt x="625" y="9"/>
                    </a:lnTo>
                    <a:lnTo>
                      <a:pt x="616" y="18"/>
                    </a:lnTo>
                    <a:lnTo>
                      <a:pt x="607" y="9"/>
                    </a:lnTo>
                    <a:lnTo>
                      <a:pt x="589" y="18"/>
                    </a:lnTo>
                    <a:lnTo>
                      <a:pt x="581" y="27"/>
                    </a:lnTo>
                    <a:lnTo>
                      <a:pt x="572" y="53"/>
                    </a:lnTo>
                    <a:lnTo>
                      <a:pt x="554" y="71"/>
                    </a:lnTo>
                    <a:lnTo>
                      <a:pt x="536" y="89"/>
                    </a:lnTo>
                    <a:lnTo>
                      <a:pt x="518" y="98"/>
                    </a:lnTo>
                    <a:lnTo>
                      <a:pt x="500" y="89"/>
                    </a:lnTo>
                    <a:lnTo>
                      <a:pt x="491" y="80"/>
                    </a:lnTo>
                    <a:lnTo>
                      <a:pt x="482" y="71"/>
                    </a:lnTo>
                    <a:lnTo>
                      <a:pt x="473" y="53"/>
                    </a:lnTo>
                    <a:lnTo>
                      <a:pt x="464" y="53"/>
                    </a:lnTo>
                    <a:lnTo>
                      <a:pt x="447" y="62"/>
                    </a:lnTo>
                    <a:lnTo>
                      <a:pt x="438" y="71"/>
                    </a:lnTo>
                    <a:lnTo>
                      <a:pt x="420" y="71"/>
                    </a:lnTo>
                    <a:lnTo>
                      <a:pt x="393" y="62"/>
                    </a:lnTo>
                    <a:lnTo>
                      <a:pt x="393" y="53"/>
                    </a:lnTo>
                    <a:lnTo>
                      <a:pt x="384" y="27"/>
                    </a:lnTo>
                    <a:lnTo>
                      <a:pt x="375" y="35"/>
                    </a:lnTo>
                    <a:lnTo>
                      <a:pt x="366" y="53"/>
                    </a:lnTo>
                    <a:lnTo>
                      <a:pt x="357" y="62"/>
                    </a:lnTo>
                    <a:lnTo>
                      <a:pt x="330" y="71"/>
                    </a:lnTo>
                    <a:lnTo>
                      <a:pt x="322" y="71"/>
                    </a:lnTo>
                    <a:lnTo>
                      <a:pt x="322" y="89"/>
                    </a:lnTo>
                    <a:lnTo>
                      <a:pt x="313" y="98"/>
                    </a:lnTo>
                    <a:lnTo>
                      <a:pt x="313" y="116"/>
                    </a:lnTo>
                    <a:lnTo>
                      <a:pt x="304" y="116"/>
                    </a:lnTo>
                    <a:lnTo>
                      <a:pt x="295" y="107"/>
                    </a:lnTo>
                    <a:lnTo>
                      <a:pt x="277" y="98"/>
                    </a:lnTo>
                    <a:lnTo>
                      <a:pt x="259" y="98"/>
                    </a:lnTo>
                    <a:lnTo>
                      <a:pt x="241" y="98"/>
                    </a:lnTo>
                    <a:lnTo>
                      <a:pt x="223" y="107"/>
                    </a:lnTo>
                    <a:lnTo>
                      <a:pt x="214" y="125"/>
                    </a:lnTo>
                    <a:lnTo>
                      <a:pt x="188" y="116"/>
                    </a:lnTo>
                    <a:lnTo>
                      <a:pt x="179" y="116"/>
                    </a:lnTo>
                    <a:lnTo>
                      <a:pt x="170" y="107"/>
                    </a:lnTo>
                    <a:lnTo>
                      <a:pt x="161" y="107"/>
                    </a:lnTo>
                    <a:lnTo>
                      <a:pt x="152" y="116"/>
                    </a:lnTo>
                    <a:lnTo>
                      <a:pt x="152" y="134"/>
                    </a:lnTo>
                    <a:lnTo>
                      <a:pt x="143" y="143"/>
                    </a:lnTo>
                    <a:lnTo>
                      <a:pt x="134" y="152"/>
                    </a:lnTo>
                    <a:lnTo>
                      <a:pt x="125" y="152"/>
                    </a:lnTo>
                    <a:lnTo>
                      <a:pt x="125" y="169"/>
                    </a:lnTo>
                    <a:lnTo>
                      <a:pt x="134" y="196"/>
                    </a:lnTo>
                    <a:lnTo>
                      <a:pt x="143" y="214"/>
                    </a:lnTo>
                    <a:lnTo>
                      <a:pt x="152" y="232"/>
                    </a:lnTo>
                    <a:lnTo>
                      <a:pt x="152" y="259"/>
                    </a:lnTo>
                    <a:lnTo>
                      <a:pt x="152" y="277"/>
                    </a:lnTo>
                    <a:lnTo>
                      <a:pt x="152" y="294"/>
                    </a:lnTo>
                    <a:lnTo>
                      <a:pt x="152" y="312"/>
                    </a:lnTo>
                    <a:lnTo>
                      <a:pt x="152" y="330"/>
                    </a:lnTo>
                    <a:lnTo>
                      <a:pt x="152" y="339"/>
                    </a:lnTo>
                    <a:lnTo>
                      <a:pt x="161" y="339"/>
                    </a:lnTo>
                    <a:lnTo>
                      <a:pt x="161" y="339"/>
                    </a:lnTo>
                    <a:lnTo>
                      <a:pt x="170" y="339"/>
                    </a:lnTo>
                    <a:lnTo>
                      <a:pt x="179" y="348"/>
                    </a:lnTo>
                    <a:lnTo>
                      <a:pt x="170" y="366"/>
                    </a:lnTo>
                    <a:lnTo>
                      <a:pt x="179" y="366"/>
                    </a:lnTo>
                    <a:lnTo>
                      <a:pt x="188" y="366"/>
                    </a:lnTo>
                    <a:lnTo>
                      <a:pt x="196" y="375"/>
                    </a:lnTo>
                    <a:lnTo>
                      <a:pt x="196" y="384"/>
                    </a:lnTo>
                    <a:lnTo>
                      <a:pt x="179" y="402"/>
                    </a:lnTo>
                    <a:lnTo>
                      <a:pt x="161" y="419"/>
                    </a:lnTo>
                    <a:lnTo>
                      <a:pt x="143" y="419"/>
                    </a:lnTo>
                    <a:lnTo>
                      <a:pt x="143" y="419"/>
                    </a:lnTo>
                    <a:lnTo>
                      <a:pt x="134" y="419"/>
                    </a:lnTo>
                    <a:lnTo>
                      <a:pt x="134" y="419"/>
                    </a:lnTo>
                    <a:lnTo>
                      <a:pt x="134" y="419"/>
                    </a:lnTo>
                    <a:lnTo>
                      <a:pt x="125" y="419"/>
                    </a:lnTo>
                    <a:lnTo>
                      <a:pt x="125" y="419"/>
                    </a:lnTo>
                    <a:lnTo>
                      <a:pt x="125" y="419"/>
                    </a:lnTo>
                    <a:lnTo>
                      <a:pt x="116" y="419"/>
                    </a:lnTo>
                    <a:lnTo>
                      <a:pt x="116" y="419"/>
                    </a:lnTo>
                    <a:lnTo>
                      <a:pt x="116" y="419"/>
                    </a:lnTo>
                    <a:lnTo>
                      <a:pt x="107" y="419"/>
                    </a:lnTo>
                    <a:lnTo>
                      <a:pt x="107" y="419"/>
                    </a:lnTo>
                    <a:lnTo>
                      <a:pt x="98" y="411"/>
                    </a:lnTo>
                    <a:lnTo>
                      <a:pt x="98" y="411"/>
                    </a:lnTo>
                    <a:lnTo>
                      <a:pt x="98" y="411"/>
                    </a:lnTo>
                    <a:lnTo>
                      <a:pt x="98" y="411"/>
                    </a:lnTo>
                    <a:lnTo>
                      <a:pt x="80" y="402"/>
                    </a:lnTo>
                    <a:lnTo>
                      <a:pt x="71" y="402"/>
                    </a:lnTo>
                    <a:lnTo>
                      <a:pt x="54" y="393"/>
                    </a:lnTo>
                    <a:lnTo>
                      <a:pt x="45" y="402"/>
                    </a:lnTo>
                    <a:lnTo>
                      <a:pt x="36" y="411"/>
                    </a:lnTo>
                    <a:lnTo>
                      <a:pt x="27" y="411"/>
                    </a:lnTo>
                    <a:lnTo>
                      <a:pt x="9" y="411"/>
                    </a:lnTo>
                    <a:lnTo>
                      <a:pt x="9" y="428"/>
                    </a:lnTo>
                    <a:lnTo>
                      <a:pt x="18" y="428"/>
                    </a:lnTo>
                    <a:lnTo>
                      <a:pt x="18" y="437"/>
                    </a:lnTo>
                    <a:lnTo>
                      <a:pt x="27" y="446"/>
                    </a:lnTo>
                    <a:lnTo>
                      <a:pt x="27" y="473"/>
                    </a:lnTo>
                    <a:lnTo>
                      <a:pt x="27" y="491"/>
                    </a:lnTo>
                    <a:lnTo>
                      <a:pt x="27" y="509"/>
                    </a:lnTo>
                    <a:lnTo>
                      <a:pt x="27" y="527"/>
                    </a:lnTo>
                    <a:lnTo>
                      <a:pt x="27" y="536"/>
                    </a:lnTo>
                    <a:lnTo>
                      <a:pt x="18" y="544"/>
                    </a:lnTo>
                    <a:lnTo>
                      <a:pt x="9" y="553"/>
                    </a:lnTo>
                    <a:lnTo>
                      <a:pt x="9" y="562"/>
                    </a:lnTo>
                    <a:lnTo>
                      <a:pt x="0" y="562"/>
                    </a:lnTo>
                    <a:lnTo>
                      <a:pt x="0" y="571"/>
                    </a:lnTo>
                    <a:close/>
                  </a:path>
                </a:pathLst>
              </a:custGeom>
              <a:solidFill>
                <a:schemeClr val="tx2">
                  <a:lumMod val="60000"/>
                  <a:lumOff val="40000"/>
                </a:schemeClr>
              </a:solidFill>
              <a:ln w="21590" cmpd="sng">
                <a:solidFill>
                  <a:srgbClr val="FFFFFF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59" name="Freeform 66">
                <a:extLst>
                  <a:ext uri="{FF2B5EF4-FFF2-40B4-BE49-F238E27FC236}">
                    <a16:creationId xmlns:a16="http://schemas.microsoft.com/office/drawing/2014/main" id="{78DF2893-0104-474C-BD08-6F2F5C9FB7A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4345" y="8999"/>
                <a:ext cx="1229" cy="2269"/>
              </a:xfrm>
              <a:custGeom>
                <a:avLst/>
                <a:gdLst>
                  <a:gd name="T0" fmla="*/ 509 w 553"/>
                  <a:gd name="T1" fmla="*/ 581 h 956"/>
                  <a:gd name="T2" fmla="*/ 553 w 553"/>
                  <a:gd name="T3" fmla="*/ 679 h 956"/>
                  <a:gd name="T4" fmla="*/ 473 w 553"/>
                  <a:gd name="T5" fmla="*/ 723 h 956"/>
                  <a:gd name="T6" fmla="*/ 402 w 553"/>
                  <a:gd name="T7" fmla="*/ 706 h 956"/>
                  <a:gd name="T8" fmla="*/ 384 w 553"/>
                  <a:gd name="T9" fmla="*/ 840 h 956"/>
                  <a:gd name="T10" fmla="*/ 348 w 553"/>
                  <a:gd name="T11" fmla="*/ 875 h 956"/>
                  <a:gd name="T12" fmla="*/ 339 w 553"/>
                  <a:gd name="T13" fmla="*/ 893 h 956"/>
                  <a:gd name="T14" fmla="*/ 303 w 553"/>
                  <a:gd name="T15" fmla="*/ 902 h 956"/>
                  <a:gd name="T16" fmla="*/ 285 w 553"/>
                  <a:gd name="T17" fmla="*/ 929 h 956"/>
                  <a:gd name="T18" fmla="*/ 285 w 553"/>
                  <a:gd name="T19" fmla="*/ 956 h 956"/>
                  <a:gd name="T20" fmla="*/ 268 w 553"/>
                  <a:gd name="T21" fmla="*/ 920 h 956"/>
                  <a:gd name="T22" fmla="*/ 259 w 553"/>
                  <a:gd name="T23" fmla="*/ 893 h 956"/>
                  <a:gd name="T24" fmla="*/ 241 w 553"/>
                  <a:gd name="T25" fmla="*/ 884 h 956"/>
                  <a:gd name="T26" fmla="*/ 232 w 553"/>
                  <a:gd name="T27" fmla="*/ 866 h 956"/>
                  <a:gd name="T28" fmla="*/ 205 w 553"/>
                  <a:gd name="T29" fmla="*/ 831 h 956"/>
                  <a:gd name="T30" fmla="*/ 178 w 553"/>
                  <a:gd name="T31" fmla="*/ 831 h 956"/>
                  <a:gd name="T32" fmla="*/ 152 w 553"/>
                  <a:gd name="T33" fmla="*/ 840 h 956"/>
                  <a:gd name="T34" fmla="*/ 125 w 553"/>
                  <a:gd name="T35" fmla="*/ 831 h 956"/>
                  <a:gd name="T36" fmla="*/ 116 w 553"/>
                  <a:gd name="T37" fmla="*/ 804 h 956"/>
                  <a:gd name="T38" fmla="*/ 98 w 553"/>
                  <a:gd name="T39" fmla="*/ 777 h 956"/>
                  <a:gd name="T40" fmla="*/ 62 w 553"/>
                  <a:gd name="T41" fmla="*/ 777 h 956"/>
                  <a:gd name="T42" fmla="*/ 35 w 553"/>
                  <a:gd name="T43" fmla="*/ 795 h 956"/>
                  <a:gd name="T44" fmla="*/ 0 w 553"/>
                  <a:gd name="T45" fmla="*/ 804 h 956"/>
                  <a:gd name="T46" fmla="*/ 0 w 553"/>
                  <a:gd name="T47" fmla="*/ 795 h 956"/>
                  <a:gd name="T48" fmla="*/ 18 w 553"/>
                  <a:gd name="T49" fmla="*/ 777 h 956"/>
                  <a:gd name="T50" fmla="*/ 26 w 553"/>
                  <a:gd name="T51" fmla="*/ 759 h 956"/>
                  <a:gd name="T52" fmla="*/ 35 w 553"/>
                  <a:gd name="T53" fmla="*/ 723 h 956"/>
                  <a:gd name="T54" fmla="*/ 53 w 553"/>
                  <a:gd name="T55" fmla="*/ 697 h 956"/>
                  <a:gd name="T56" fmla="*/ 53 w 553"/>
                  <a:gd name="T57" fmla="*/ 670 h 956"/>
                  <a:gd name="T58" fmla="*/ 71 w 553"/>
                  <a:gd name="T59" fmla="*/ 652 h 956"/>
                  <a:gd name="T60" fmla="*/ 71 w 553"/>
                  <a:gd name="T61" fmla="*/ 634 h 956"/>
                  <a:gd name="T62" fmla="*/ 53 w 553"/>
                  <a:gd name="T63" fmla="*/ 607 h 956"/>
                  <a:gd name="T64" fmla="*/ 44 w 553"/>
                  <a:gd name="T65" fmla="*/ 563 h 956"/>
                  <a:gd name="T66" fmla="*/ 53 w 553"/>
                  <a:gd name="T67" fmla="*/ 527 h 956"/>
                  <a:gd name="T68" fmla="*/ 53 w 553"/>
                  <a:gd name="T69" fmla="*/ 491 h 956"/>
                  <a:gd name="T70" fmla="*/ 71 w 553"/>
                  <a:gd name="T71" fmla="*/ 464 h 956"/>
                  <a:gd name="T72" fmla="*/ 80 w 553"/>
                  <a:gd name="T73" fmla="*/ 438 h 956"/>
                  <a:gd name="T74" fmla="*/ 80 w 553"/>
                  <a:gd name="T75" fmla="*/ 402 h 956"/>
                  <a:gd name="T76" fmla="*/ 53 w 553"/>
                  <a:gd name="T77" fmla="*/ 393 h 956"/>
                  <a:gd name="T78" fmla="*/ 26 w 553"/>
                  <a:gd name="T79" fmla="*/ 393 h 956"/>
                  <a:gd name="T80" fmla="*/ 18 w 553"/>
                  <a:gd name="T81" fmla="*/ 384 h 956"/>
                  <a:gd name="T82" fmla="*/ 26 w 553"/>
                  <a:gd name="T83" fmla="*/ 375 h 956"/>
                  <a:gd name="T84" fmla="*/ 35 w 553"/>
                  <a:gd name="T85" fmla="*/ 348 h 956"/>
                  <a:gd name="T86" fmla="*/ 26 w 553"/>
                  <a:gd name="T87" fmla="*/ 313 h 956"/>
                  <a:gd name="T88" fmla="*/ 35 w 553"/>
                  <a:gd name="T89" fmla="*/ 268 h 956"/>
                  <a:gd name="T90" fmla="*/ 53 w 553"/>
                  <a:gd name="T91" fmla="*/ 268 h 956"/>
                  <a:gd name="T92" fmla="*/ 71 w 553"/>
                  <a:gd name="T93" fmla="*/ 268 h 956"/>
                  <a:gd name="T94" fmla="*/ 80 w 553"/>
                  <a:gd name="T95" fmla="*/ 250 h 956"/>
                  <a:gd name="T96" fmla="*/ 80 w 553"/>
                  <a:gd name="T97" fmla="*/ 206 h 956"/>
                  <a:gd name="T98" fmla="*/ 80 w 553"/>
                  <a:gd name="T99" fmla="*/ 152 h 956"/>
                  <a:gd name="T100" fmla="*/ 98 w 553"/>
                  <a:gd name="T101" fmla="*/ 134 h 956"/>
                  <a:gd name="T102" fmla="*/ 116 w 553"/>
                  <a:gd name="T103" fmla="*/ 125 h 956"/>
                  <a:gd name="T104" fmla="*/ 116 w 553"/>
                  <a:gd name="T105" fmla="*/ 107 h 956"/>
                  <a:gd name="T106" fmla="*/ 107 w 553"/>
                  <a:gd name="T107" fmla="*/ 72 h 956"/>
                  <a:gd name="T108" fmla="*/ 89 w 553"/>
                  <a:gd name="T109" fmla="*/ 18 h 956"/>
                  <a:gd name="T110" fmla="*/ 232 w 553"/>
                  <a:gd name="T111" fmla="*/ 72 h 956"/>
                  <a:gd name="T112" fmla="*/ 321 w 553"/>
                  <a:gd name="T113" fmla="*/ 89 h 956"/>
                  <a:gd name="T114" fmla="*/ 384 w 553"/>
                  <a:gd name="T115" fmla="*/ 81 h 956"/>
                  <a:gd name="T116" fmla="*/ 446 w 553"/>
                  <a:gd name="T117" fmla="*/ 170 h 956"/>
                  <a:gd name="T118" fmla="*/ 402 w 553"/>
                  <a:gd name="T119" fmla="*/ 366 h 95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</a:cxnLst>
                <a:rect l="0" t="0" r="r" b="b"/>
                <a:pathLst>
                  <a:path w="553" h="956">
                    <a:moveTo>
                      <a:pt x="518" y="411"/>
                    </a:moveTo>
                    <a:lnTo>
                      <a:pt x="509" y="420"/>
                    </a:lnTo>
                    <a:lnTo>
                      <a:pt x="509" y="438"/>
                    </a:lnTo>
                    <a:lnTo>
                      <a:pt x="500" y="447"/>
                    </a:lnTo>
                    <a:lnTo>
                      <a:pt x="491" y="456"/>
                    </a:lnTo>
                    <a:lnTo>
                      <a:pt x="482" y="456"/>
                    </a:lnTo>
                    <a:lnTo>
                      <a:pt x="482" y="473"/>
                    </a:lnTo>
                    <a:lnTo>
                      <a:pt x="491" y="500"/>
                    </a:lnTo>
                    <a:lnTo>
                      <a:pt x="500" y="518"/>
                    </a:lnTo>
                    <a:lnTo>
                      <a:pt x="509" y="536"/>
                    </a:lnTo>
                    <a:lnTo>
                      <a:pt x="509" y="563"/>
                    </a:lnTo>
                    <a:lnTo>
                      <a:pt x="509" y="581"/>
                    </a:lnTo>
                    <a:lnTo>
                      <a:pt x="509" y="598"/>
                    </a:lnTo>
                    <a:lnTo>
                      <a:pt x="509" y="616"/>
                    </a:lnTo>
                    <a:lnTo>
                      <a:pt x="509" y="634"/>
                    </a:lnTo>
                    <a:lnTo>
                      <a:pt x="509" y="643"/>
                    </a:lnTo>
                    <a:lnTo>
                      <a:pt x="518" y="643"/>
                    </a:lnTo>
                    <a:lnTo>
                      <a:pt x="518" y="643"/>
                    </a:lnTo>
                    <a:lnTo>
                      <a:pt x="527" y="643"/>
                    </a:lnTo>
                    <a:lnTo>
                      <a:pt x="536" y="652"/>
                    </a:lnTo>
                    <a:lnTo>
                      <a:pt x="527" y="670"/>
                    </a:lnTo>
                    <a:lnTo>
                      <a:pt x="536" y="670"/>
                    </a:lnTo>
                    <a:lnTo>
                      <a:pt x="545" y="670"/>
                    </a:lnTo>
                    <a:lnTo>
                      <a:pt x="553" y="679"/>
                    </a:lnTo>
                    <a:lnTo>
                      <a:pt x="553" y="688"/>
                    </a:lnTo>
                    <a:lnTo>
                      <a:pt x="536" y="706"/>
                    </a:lnTo>
                    <a:lnTo>
                      <a:pt x="518" y="723"/>
                    </a:lnTo>
                    <a:lnTo>
                      <a:pt x="500" y="723"/>
                    </a:lnTo>
                    <a:lnTo>
                      <a:pt x="500" y="723"/>
                    </a:lnTo>
                    <a:lnTo>
                      <a:pt x="491" y="723"/>
                    </a:lnTo>
                    <a:lnTo>
                      <a:pt x="491" y="723"/>
                    </a:lnTo>
                    <a:lnTo>
                      <a:pt x="491" y="723"/>
                    </a:lnTo>
                    <a:lnTo>
                      <a:pt x="482" y="723"/>
                    </a:lnTo>
                    <a:lnTo>
                      <a:pt x="482" y="723"/>
                    </a:lnTo>
                    <a:lnTo>
                      <a:pt x="482" y="723"/>
                    </a:lnTo>
                    <a:lnTo>
                      <a:pt x="473" y="723"/>
                    </a:lnTo>
                    <a:lnTo>
                      <a:pt x="473" y="723"/>
                    </a:lnTo>
                    <a:lnTo>
                      <a:pt x="473" y="723"/>
                    </a:lnTo>
                    <a:lnTo>
                      <a:pt x="464" y="723"/>
                    </a:lnTo>
                    <a:lnTo>
                      <a:pt x="464" y="723"/>
                    </a:lnTo>
                    <a:lnTo>
                      <a:pt x="455" y="715"/>
                    </a:lnTo>
                    <a:lnTo>
                      <a:pt x="455" y="715"/>
                    </a:lnTo>
                    <a:lnTo>
                      <a:pt x="455" y="715"/>
                    </a:lnTo>
                    <a:lnTo>
                      <a:pt x="455" y="715"/>
                    </a:lnTo>
                    <a:lnTo>
                      <a:pt x="437" y="706"/>
                    </a:lnTo>
                    <a:lnTo>
                      <a:pt x="428" y="706"/>
                    </a:lnTo>
                    <a:lnTo>
                      <a:pt x="411" y="697"/>
                    </a:lnTo>
                    <a:lnTo>
                      <a:pt x="402" y="706"/>
                    </a:lnTo>
                    <a:lnTo>
                      <a:pt x="393" y="715"/>
                    </a:lnTo>
                    <a:lnTo>
                      <a:pt x="384" y="715"/>
                    </a:lnTo>
                    <a:lnTo>
                      <a:pt x="366" y="715"/>
                    </a:lnTo>
                    <a:lnTo>
                      <a:pt x="366" y="732"/>
                    </a:lnTo>
                    <a:lnTo>
                      <a:pt x="375" y="732"/>
                    </a:lnTo>
                    <a:lnTo>
                      <a:pt x="375" y="741"/>
                    </a:lnTo>
                    <a:lnTo>
                      <a:pt x="384" y="750"/>
                    </a:lnTo>
                    <a:lnTo>
                      <a:pt x="384" y="777"/>
                    </a:lnTo>
                    <a:lnTo>
                      <a:pt x="384" y="795"/>
                    </a:lnTo>
                    <a:lnTo>
                      <a:pt x="384" y="813"/>
                    </a:lnTo>
                    <a:lnTo>
                      <a:pt x="384" y="831"/>
                    </a:lnTo>
                    <a:lnTo>
                      <a:pt x="384" y="840"/>
                    </a:lnTo>
                    <a:lnTo>
                      <a:pt x="375" y="848"/>
                    </a:lnTo>
                    <a:lnTo>
                      <a:pt x="366" y="857"/>
                    </a:lnTo>
                    <a:lnTo>
                      <a:pt x="366" y="866"/>
                    </a:lnTo>
                    <a:lnTo>
                      <a:pt x="357" y="866"/>
                    </a:lnTo>
                    <a:lnTo>
                      <a:pt x="357" y="875"/>
                    </a:lnTo>
                    <a:lnTo>
                      <a:pt x="357" y="875"/>
                    </a:lnTo>
                    <a:lnTo>
                      <a:pt x="348" y="875"/>
                    </a:lnTo>
                    <a:lnTo>
                      <a:pt x="348" y="875"/>
                    </a:lnTo>
                    <a:lnTo>
                      <a:pt x="348" y="875"/>
                    </a:lnTo>
                    <a:lnTo>
                      <a:pt x="348" y="875"/>
                    </a:lnTo>
                    <a:lnTo>
                      <a:pt x="348" y="875"/>
                    </a:lnTo>
                    <a:lnTo>
                      <a:pt x="348" y="875"/>
                    </a:lnTo>
                    <a:lnTo>
                      <a:pt x="339" y="875"/>
                    </a:lnTo>
                    <a:lnTo>
                      <a:pt x="339" y="884"/>
                    </a:lnTo>
                    <a:lnTo>
                      <a:pt x="339" y="884"/>
                    </a:lnTo>
                    <a:lnTo>
                      <a:pt x="339" y="884"/>
                    </a:lnTo>
                    <a:lnTo>
                      <a:pt x="339" y="884"/>
                    </a:lnTo>
                    <a:lnTo>
                      <a:pt x="339" y="893"/>
                    </a:lnTo>
                    <a:lnTo>
                      <a:pt x="339" y="893"/>
                    </a:lnTo>
                    <a:lnTo>
                      <a:pt x="339" y="893"/>
                    </a:lnTo>
                    <a:lnTo>
                      <a:pt x="339" y="893"/>
                    </a:lnTo>
                    <a:lnTo>
                      <a:pt x="339" y="893"/>
                    </a:lnTo>
                    <a:lnTo>
                      <a:pt x="339" y="893"/>
                    </a:lnTo>
                    <a:lnTo>
                      <a:pt x="339" y="893"/>
                    </a:lnTo>
                    <a:lnTo>
                      <a:pt x="330" y="893"/>
                    </a:lnTo>
                    <a:lnTo>
                      <a:pt x="330" y="893"/>
                    </a:lnTo>
                    <a:lnTo>
                      <a:pt x="330" y="893"/>
                    </a:lnTo>
                    <a:lnTo>
                      <a:pt x="321" y="893"/>
                    </a:lnTo>
                    <a:lnTo>
                      <a:pt x="321" y="893"/>
                    </a:lnTo>
                    <a:lnTo>
                      <a:pt x="321" y="902"/>
                    </a:lnTo>
                    <a:lnTo>
                      <a:pt x="321" y="902"/>
                    </a:lnTo>
                    <a:lnTo>
                      <a:pt x="312" y="902"/>
                    </a:lnTo>
                    <a:lnTo>
                      <a:pt x="312" y="902"/>
                    </a:lnTo>
                    <a:lnTo>
                      <a:pt x="312" y="902"/>
                    </a:lnTo>
                    <a:lnTo>
                      <a:pt x="312" y="902"/>
                    </a:lnTo>
                    <a:lnTo>
                      <a:pt x="303" y="902"/>
                    </a:lnTo>
                    <a:lnTo>
                      <a:pt x="303" y="902"/>
                    </a:lnTo>
                    <a:lnTo>
                      <a:pt x="303" y="902"/>
                    </a:lnTo>
                    <a:lnTo>
                      <a:pt x="303" y="911"/>
                    </a:lnTo>
                    <a:lnTo>
                      <a:pt x="294" y="911"/>
                    </a:lnTo>
                    <a:lnTo>
                      <a:pt x="294" y="911"/>
                    </a:lnTo>
                    <a:lnTo>
                      <a:pt x="294" y="911"/>
                    </a:lnTo>
                    <a:lnTo>
                      <a:pt x="294" y="920"/>
                    </a:lnTo>
                    <a:lnTo>
                      <a:pt x="294" y="920"/>
                    </a:lnTo>
                    <a:lnTo>
                      <a:pt x="285" y="920"/>
                    </a:lnTo>
                    <a:lnTo>
                      <a:pt x="285" y="920"/>
                    </a:lnTo>
                    <a:lnTo>
                      <a:pt x="285" y="929"/>
                    </a:lnTo>
                    <a:lnTo>
                      <a:pt x="285" y="929"/>
                    </a:lnTo>
                    <a:lnTo>
                      <a:pt x="285" y="929"/>
                    </a:lnTo>
                    <a:lnTo>
                      <a:pt x="285" y="938"/>
                    </a:lnTo>
                    <a:lnTo>
                      <a:pt x="285" y="938"/>
                    </a:lnTo>
                    <a:lnTo>
                      <a:pt x="285" y="938"/>
                    </a:lnTo>
                    <a:lnTo>
                      <a:pt x="285" y="947"/>
                    </a:lnTo>
                    <a:lnTo>
                      <a:pt x="285" y="947"/>
                    </a:lnTo>
                    <a:lnTo>
                      <a:pt x="285" y="947"/>
                    </a:lnTo>
                    <a:lnTo>
                      <a:pt x="285" y="956"/>
                    </a:lnTo>
                    <a:lnTo>
                      <a:pt x="285" y="956"/>
                    </a:lnTo>
                    <a:lnTo>
                      <a:pt x="285" y="956"/>
                    </a:lnTo>
                    <a:lnTo>
                      <a:pt x="285" y="956"/>
                    </a:lnTo>
                    <a:lnTo>
                      <a:pt x="285" y="956"/>
                    </a:lnTo>
                    <a:lnTo>
                      <a:pt x="277" y="956"/>
                    </a:lnTo>
                    <a:lnTo>
                      <a:pt x="277" y="956"/>
                    </a:lnTo>
                    <a:lnTo>
                      <a:pt x="277" y="956"/>
                    </a:lnTo>
                    <a:lnTo>
                      <a:pt x="277" y="947"/>
                    </a:lnTo>
                    <a:lnTo>
                      <a:pt x="277" y="947"/>
                    </a:lnTo>
                    <a:lnTo>
                      <a:pt x="277" y="938"/>
                    </a:lnTo>
                    <a:lnTo>
                      <a:pt x="277" y="938"/>
                    </a:lnTo>
                    <a:lnTo>
                      <a:pt x="268" y="929"/>
                    </a:lnTo>
                    <a:lnTo>
                      <a:pt x="268" y="929"/>
                    </a:lnTo>
                    <a:lnTo>
                      <a:pt x="268" y="929"/>
                    </a:lnTo>
                    <a:lnTo>
                      <a:pt x="268" y="920"/>
                    </a:lnTo>
                    <a:lnTo>
                      <a:pt x="268" y="920"/>
                    </a:lnTo>
                    <a:lnTo>
                      <a:pt x="268" y="920"/>
                    </a:lnTo>
                    <a:lnTo>
                      <a:pt x="259" y="920"/>
                    </a:lnTo>
                    <a:lnTo>
                      <a:pt x="259" y="920"/>
                    </a:lnTo>
                    <a:lnTo>
                      <a:pt x="259" y="911"/>
                    </a:lnTo>
                    <a:lnTo>
                      <a:pt x="259" y="911"/>
                    </a:lnTo>
                    <a:lnTo>
                      <a:pt x="259" y="911"/>
                    </a:lnTo>
                    <a:lnTo>
                      <a:pt x="259" y="902"/>
                    </a:lnTo>
                    <a:lnTo>
                      <a:pt x="259" y="902"/>
                    </a:lnTo>
                    <a:lnTo>
                      <a:pt x="259" y="902"/>
                    </a:lnTo>
                    <a:lnTo>
                      <a:pt x="259" y="893"/>
                    </a:lnTo>
                    <a:lnTo>
                      <a:pt x="259" y="893"/>
                    </a:lnTo>
                    <a:lnTo>
                      <a:pt x="259" y="893"/>
                    </a:lnTo>
                    <a:lnTo>
                      <a:pt x="259" y="884"/>
                    </a:lnTo>
                    <a:lnTo>
                      <a:pt x="259" y="884"/>
                    </a:lnTo>
                    <a:lnTo>
                      <a:pt x="259" y="884"/>
                    </a:lnTo>
                    <a:lnTo>
                      <a:pt x="259" y="884"/>
                    </a:lnTo>
                    <a:lnTo>
                      <a:pt x="250" y="884"/>
                    </a:lnTo>
                    <a:lnTo>
                      <a:pt x="250" y="884"/>
                    </a:lnTo>
                    <a:lnTo>
                      <a:pt x="250" y="884"/>
                    </a:lnTo>
                    <a:lnTo>
                      <a:pt x="250" y="884"/>
                    </a:lnTo>
                    <a:lnTo>
                      <a:pt x="241" y="884"/>
                    </a:lnTo>
                    <a:lnTo>
                      <a:pt x="241" y="884"/>
                    </a:lnTo>
                    <a:lnTo>
                      <a:pt x="241" y="884"/>
                    </a:lnTo>
                    <a:lnTo>
                      <a:pt x="241" y="884"/>
                    </a:lnTo>
                    <a:lnTo>
                      <a:pt x="232" y="884"/>
                    </a:lnTo>
                    <a:lnTo>
                      <a:pt x="232" y="884"/>
                    </a:lnTo>
                    <a:lnTo>
                      <a:pt x="232" y="884"/>
                    </a:lnTo>
                    <a:lnTo>
                      <a:pt x="232" y="884"/>
                    </a:lnTo>
                    <a:lnTo>
                      <a:pt x="223" y="884"/>
                    </a:lnTo>
                    <a:lnTo>
                      <a:pt x="223" y="884"/>
                    </a:lnTo>
                    <a:lnTo>
                      <a:pt x="223" y="875"/>
                    </a:lnTo>
                    <a:lnTo>
                      <a:pt x="223" y="875"/>
                    </a:lnTo>
                    <a:lnTo>
                      <a:pt x="223" y="875"/>
                    </a:lnTo>
                    <a:lnTo>
                      <a:pt x="232" y="875"/>
                    </a:lnTo>
                    <a:lnTo>
                      <a:pt x="232" y="875"/>
                    </a:lnTo>
                    <a:lnTo>
                      <a:pt x="232" y="866"/>
                    </a:lnTo>
                    <a:lnTo>
                      <a:pt x="232" y="866"/>
                    </a:lnTo>
                    <a:lnTo>
                      <a:pt x="223" y="866"/>
                    </a:lnTo>
                    <a:lnTo>
                      <a:pt x="223" y="857"/>
                    </a:lnTo>
                    <a:lnTo>
                      <a:pt x="223" y="857"/>
                    </a:lnTo>
                    <a:lnTo>
                      <a:pt x="214" y="848"/>
                    </a:lnTo>
                    <a:lnTo>
                      <a:pt x="214" y="848"/>
                    </a:lnTo>
                    <a:lnTo>
                      <a:pt x="214" y="848"/>
                    </a:lnTo>
                    <a:lnTo>
                      <a:pt x="214" y="840"/>
                    </a:lnTo>
                    <a:lnTo>
                      <a:pt x="205" y="840"/>
                    </a:lnTo>
                    <a:lnTo>
                      <a:pt x="205" y="840"/>
                    </a:lnTo>
                    <a:lnTo>
                      <a:pt x="205" y="831"/>
                    </a:lnTo>
                    <a:lnTo>
                      <a:pt x="205" y="831"/>
                    </a:lnTo>
                    <a:lnTo>
                      <a:pt x="205" y="831"/>
                    </a:lnTo>
                    <a:lnTo>
                      <a:pt x="196" y="831"/>
                    </a:lnTo>
                    <a:lnTo>
                      <a:pt x="196" y="822"/>
                    </a:lnTo>
                    <a:lnTo>
                      <a:pt x="196" y="822"/>
                    </a:lnTo>
                    <a:lnTo>
                      <a:pt x="196" y="822"/>
                    </a:lnTo>
                    <a:lnTo>
                      <a:pt x="196" y="822"/>
                    </a:lnTo>
                    <a:lnTo>
                      <a:pt x="187" y="822"/>
                    </a:lnTo>
                    <a:lnTo>
                      <a:pt x="187" y="822"/>
                    </a:lnTo>
                    <a:lnTo>
                      <a:pt x="187" y="822"/>
                    </a:lnTo>
                    <a:lnTo>
                      <a:pt x="187" y="822"/>
                    </a:lnTo>
                    <a:lnTo>
                      <a:pt x="178" y="822"/>
                    </a:lnTo>
                    <a:lnTo>
                      <a:pt x="178" y="831"/>
                    </a:lnTo>
                    <a:lnTo>
                      <a:pt x="178" y="831"/>
                    </a:lnTo>
                    <a:lnTo>
                      <a:pt x="169" y="831"/>
                    </a:lnTo>
                    <a:lnTo>
                      <a:pt x="169" y="831"/>
                    </a:lnTo>
                    <a:lnTo>
                      <a:pt x="169" y="831"/>
                    </a:lnTo>
                    <a:lnTo>
                      <a:pt x="160" y="831"/>
                    </a:lnTo>
                    <a:lnTo>
                      <a:pt x="160" y="840"/>
                    </a:lnTo>
                    <a:lnTo>
                      <a:pt x="160" y="840"/>
                    </a:lnTo>
                    <a:lnTo>
                      <a:pt x="160" y="840"/>
                    </a:lnTo>
                    <a:lnTo>
                      <a:pt x="152" y="840"/>
                    </a:lnTo>
                    <a:lnTo>
                      <a:pt x="152" y="840"/>
                    </a:lnTo>
                    <a:lnTo>
                      <a:pt x="152" y="840"/>
                    </a:lnTo>
                    <a:lnTo>
                      <a:pt x="152" y="840"/>
                    </a:lnTo>
                    <a:lnTo>
                      <a:pt x="143" y="840"/>
                    </a:lnTo>
                    <a:lnTo>
                      <a:pt x="143" y="840"/>
                    </a:lnTo>
                    <a:lnTo>
                      <a:pt x="143" y="840"/>
                    </a:lnTo>
                    <a:lnTo>
                      <a:pt x="143" y="840"/>
                    </a:lnTo>
                    <a:lnTo>
                      <a:pt x="143" y="840"/>
                    </a:lnTo>
                    <a:lnTo>
                      <a:pt x="134" y="840"/>
                    </a:lnTo>
                    <a:lnTo>
                      <a:pt x="134" y="840"/>
                    </a:lnTo>
                    <a:lnTo>
                      <a:pt x="134" y="840"/>
                    </a:lnTo>
                    <a:lnTo>
                      <a:pt x="125" y="831"/>
                    </a:lnTo>
                    <a:lnTo>
                      <a:pt x="125" y="831"/>
                    </a:lnTo>
                    <a:lnTo>
                      <a:pt x="125" y="831"/>
                    </a:lnTo>
                    <a:lnTo>
                      <a:pt x="125" y="831"/>
                    </a:lnTo>
                    <a:lnTo>
                      <a:pt x="116" y="831"/>
                    </a:lnTo>
                    <a:lnTo>
                      <a:pt x="116" y="831"/>
                    </a:lnTo>
                    <a:lnTo>
                      <a:pt x="116" y="822"/>
                    </a:lnTo>
                    <a:lnTo>
                      <a:pt x="116" y="822"/>
                    </a:lnTo>
                    <a:lnTo>
                      <a:pt x="116" y="822"/>
                    </a:lnTo>
                    <a:lnTo>
                      <a:pt x="116" y="822"/>
                    </a:lnTo>
                    <a:lnTo>
                      <a:pt x="116" y="813"/>
                    </a:lnTo>
                    <a:lnTo>
                      <a:pt x="116" y="813"/>
                    </a:lnTo>
                    <a:lnTo>
                      <a:pt x="116" y="813"/>
                    </a:lnTo>
                    <a:lnTo>
                      <a:pt x="116" y="813"/>
                    </a:lnTo>
                    <a:lnTo>
                      <a:pt x="116" y="804"/>
                    </a:lnTo>
                    <a:lnTo>
                      <a:pt x="116" y="804"/>
                    </a:lnTo>
                    <a:lnTo>
                      <a:pt x="116" y="804"/>
                    </a:lnTo>
                    <a:lnTo>
                      <a:pt x="116" y="804"/>
                    </a:lnTo>
                    <a:lnTo>
                      <a:pt x="107" y="795"/>
                    </a:lnTo>
                    <a:lnTo>
                      <a:pt x="107" y="795"/>
                    </a:lnTo>
                    <a:lnTo>
                      <a:pt x="107" y="795"/>
                    </a:lnTo>
                    <a:lnTo>
                      <a:pt x="107" y="795"/>
                    </a:lnTo>
                    <a:lnTo>
                      <a:pt x="107" y="786"/>
                    </a:lnTo>
                    <a:lnTo>
                      <a:pt x="107" y="786"/>
                    </a:lnTo>
                    <a:lnTo>
                      <a:pt x="98" y="786"/>
                    </a:lnTo>
                    <a:lnTo>
                      <a:pt x="98" y="777"/>
                    </a:lnTo>
                    <a:lnTo>
                      <a:pt x="98" y="777"/>
                    </a:lnTo>
                    <a:lnTo>
                      <a:pt x="98" y="777"/>
                    </a:lnTo>
                    <a:lnTo>
                      <a:pt x="89" y="777"/>
                    </a:lnTo>
                    <a:lnTo>
                      <a:pt x="89" y="768"/>
                    </a:lnTo>
                    <a:lnTo>
                      <a:pt x="89" y="768"/>
                    </a:lnTo>
                    <a:lnTo>
                      <a:pt x="89" y="768"/>
                    </a:lnTo>
                    <a:lnTo>
                      <a:pt x="80" y="768"/>
                    </a:lnTo>
                    <a:lnTo>
                      <a:pt x="80" y="768"/>
                    </a:lnTo>
                    <a:lnTo>
                      <a:pt x="80" y="768"/>
                    </a:lnTo>
                    <a:lnTo>
                      <a:pt x="71" y="777"/>
                    </a:lnTo>
                    <a:lnTo>
                      <a:pt x="71" y="777"/>
                    </a:lnTo>
                    <a:lnTo>
                      <a:pt x="71" y="777"/>
                    </a:lnTo>
                    <a:lnTo>
                      <a:pt x="71" y="777"/>
                    </a:lnTo>
                    <a:lnTo>
                      <a:pt x="62" y="777"/>
                    </a:lnTo>
                    <a:lnTo>
                      <a:pt x="62" y="777"/>
                    </a:lnTo>
                    <a:lnTo>
                      <a:pt x="62" y="777"/>
                    </a:lnTo>
                    <a:lnTo>
                      <a:pt x="53" y="786"/>
                    </a:lnTo>
                    <a:lnTo>
                      <a:pt x="53" y="786"/>
                    </a:lnTo>
                    <a:lnTo>
                      <a:pt x="53" y="786"/>
                    </a:lnTo>
                    <a:lnTo>
                      <a:pt x="44" y="786"/>
                    </a:lnTo>
                    <a:lnTo>
                      <a:pt x="44" y="786"/>
                    </a:lnTo>
                    <a:lnTo>
                      <a:pt x="44" y="795"/>
                    </a:lnTo>
                    <a:lnTo>
                      <a:pt x="44" y="795"/>
                    </a:lnTo>
                    <a:lnTo>
                      <a:pt x="35" y="795"/>
                    </a:lnTo>
                    <a:lnTo>
                      <a:pt x="35" y="795"/>
                    </a:lnTo>
                    <a:lnTo>
                      <a:pt x="35" y="795"/>
                    </a:lnTo>
                    <a:lnTo>
                      <a:pt x="35" y="795"/>
                    </a:lnTo>
                    <a:lnTo>
                      <a:pt x="26" y="795"/>
                    </a:lnTo>
                    <a:lnTo>
                      <a:pt x="26" y="804"/>
                    </a:lnTo>
                    <a:lnTo>
                      <a:pt x="18" y="804"/>
                    </a:lnTo>
                    <a:lnTo>
                      <a:pt x="18" y="804"/>
                    </a:lnTo>
                    <a:lnTo>
                      <a:pt x="18" y="804"/>
                    </a:lnTo>
                    <a:lnTo>
                      <a:pt x="9" y="804"/>
                    </a:lnTo>
                    <a:lnTo>
                      <a:pt x="9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795"/>
                    </a:lnTo>
                    <a:lnTo>
                      <a:pt x="0" y="795"/>
                    </a:lnTo>
                    <a:lnTo>
                      <a:pt x="0" y="795"/>
                    </a:lnTo>
                    <a:lnTo>
                      <a:pt x="0" y="795"/>
                    </a:lnTo>
                    <a:lnTo>
                      <a:pt x="0" y="795"/>
                    </a:lnTo>
                    <a:lnTo>
                      <a:pt x="0" y="795"/>
                    </a:lnTo>
                    <a:lnTo>
                      <a:pt x="0" y="786"/>
                    </a:lnTo>
                    <a:lnTo>
                      <a:pt x="0" y="786"/>
                    </a:lnTo>
                    <a:lnTo>
                      <a:pt x="9" y="786"/>
                    </a:lnTo>
                    <a:lnTo>
                      <a:pt x="9" y="786"/>
                    </a:lnTo>
                    <a:lnTo>
                      <a:pt x="9" y="786"/>
                    </a:lnTo>
                    <a:lnTo>
                      <a:pt x="9" y="777"/>
                    </a:lnTo>
                    <a:lnTo>
                      <a:pt x="9" y="777"/>
                    </a:lnTo>
                    <a:lnTo>
                      <a:pt x="9" y="777"/>
                    </a:lnTo>
                    <a:lnTo>
                      <a:pt x="18" y="777"/>
                    </a:lnTo>
                    <a:lnTo>
                      <a:pt x="18" y="777"/>
                    </a:lnTo>
                    <a:lnTo>
                      <a:pt x="18" y="768"/>
                    </a:lnTo>
                    <a:lnTo>
                      <a:pt x="18" y="768"/>
                    </a:lnTo>
                    <a:lnTo>
                      <a:pt x="18" y="768"/>
                    </a:lnTo>
                    <a:lnTo>
                      <a:pt x="18" y="768"/>
                    </a:lnTo>
                    <a:lnTo>
                      <a:pt x="18" y="768"/>
                    </a:lnTo>
                    <a:lnTo>
                      <a:pt x="18" y="759"/>
                    </a:lnTo>
                    <a:lnTo>
                      <a:pt x="18" y="759"/>
                    </a:lnTo>
                    <a:lnTo>
                      <a:pt x="18" y="759"/>
                    </a:lnTo>
                    <a:lnTo>
                      <a:pt x="18" y="759"/>
                    </a:lnTo>
                    <a:lnTo>
                      <a:pt x="18" y="759"/>
                    </a:lnTo>
                    <a:lnTo>
                      <a:pt x="26" y="759"/>
                    </a:lnTo>
                    <a:lnTo>
                      <a:pt x="26" y="750"/>
                    </a:lnTo>
                    <a:lnTo>
                      <a:pt x="26" y="750"/>
                    </a:lnTo>
                    <a:lnTo>
                      <a:pt x="26" y="750"/>
                    </a:lnTo>
                    <a:lnTo>
                      <a:pt x="26" y="750"/>
                    </a:lnTo>
                    <a:lnTo>
                      <a:pt x="26" y="741"/>
                    </a:lnTo>
                    <a:lnTo>
                      <a:pt x="26" y="741"/>
                    </a:lnTo>
                    <a:lnTo>
                      <a:pt x="26" y="741"/>
                    </a:lnTo>
                    <a:lnTo>
                      <a:pt x="26" y="732"/>
                    </a:lnTo>
                    <a:lnTo>
                      <a:pt x="26" y="732"/>
                    </a:lnTo>
                    <a:lnTo>
                      <a:pt x="26" y="732"/>
                    </a:lnTo>
                    <a:lnTo>
                      <a:pt x="26" y="723"/>
                    </a:lnTo>
                    <a:lnTo>
                      <a:pt x="35" y="723"/>
                    </a:lnTo>
                    <a:lnTo>
                      <a:pt x="35" y="723"/>
                    </a:lnTo>
                    <a:lnTo>
                      <a:pt x="35" y="723"/>
                    </a:lnTo>
                    <a:lnTo>
                      <a:pt x="35" y="715"/>
                    </a:lnTo>
                    <a:lnTo>
                      <a:pt x="35" y="715"/>
                    </a:lnTo>
                    <a:lnTo>
                      <a:pt x="35" y="715"/>
                    </a:lnTo>
                    <a:lnTo>
                      <a:pt x="44" y="715"/>
                    </a:lnTo>
                    <a:lnTo>
                      <a:pt x="44" y="706"/>
                    </a:lnTo>
                    <a:lnTo>
                      <a:pt x="44" y="706"/>
                    </a:lnTo>
                    <a:lnTo>
                      <a:pt x="44" y="706"/>
                    </a:lnTo>
                    <a:lnTo>
                      <a:pt x="44" y="697"/>
                    </a:lnTo>
                    <a:lnTo>
                      <a:pt x="44" y="697"/>
                    </a:lnTo>
                    <a:lnTo>
                      <a:pt x="53" y="697"/>
                    </a:lnTo>
                    <a:lnTo>
                      <a:pt x="53" y="697"/>
                    </a:lnTo>
                    <a:lnTo>
                      <a:pt x="53" y="688"/>
                    </a:lnTo>
                    <a:lnTo>
                      <a:pt x="53" y="688"/>
                    </a:lnTo>
                    <a:lnTo>
                      <a:pt x="53" y="688"/>
                    </a:lnTo>
                    <a:lnTo>
                      <a:pt x="53" y="688"/>
                    </a:lnTo>
                    <a:lnTo>
                      <a:pt x="53" y="679"/>
                    </a:lnTo>
                    <a:lnTo>
                      <a:pt x="53" y="679"/>
                    </a:lnTo>
                    <a:lnTo>
                      <a:pt x="53" y="679"/>
                    </a:lnTo>
                    <a:lnTo>
                      <a:pt x="53" y="679"/>
                    </a:lnTo>
                    <a:lnTo>
                      <a:pt x="53" y="679"/>
                    </a:lnTo>
                    <a:lnTo>
                      <a:pt x="53" y="679"/>
                    </a:lnTo>
                    <a:lnTo>
                      <a:pt x="53" y="670"/>
                    </a:lnTo>
                    <a:lnTo>
                      <a:pt x="62" y="670"/>
                    </a:lnTo>
                    <a:lnTo>
                      <a:pt x="62" y="670"/>
                    </a:lnTo>
                    <a:lnTo>
                      <a:pt x="62" y="670"/>
                    </a:lnTo>
                    <a:lnTo>
                      <a:pt x="62" y="670"/>
                    </a:lnTo>
                    <a:lnTo>
                      <a:pt x="62" y="670"/>
                    </a:lnTo>
                    <a:lnTo>
                      <a:pt x="62" y="661"/>
                    </a:lnTo>
                    <a:lnTo>
                      <a:pt x="62" y="661"/>
                    </a:lnTo>
                    <a:lnTo>
                      <a:pt x="62" y="661"/>
                    </a:lnTo>
                    <a:lnTo>
                      <a:pt x="62" y="661"/>
                    </a:lnTo>
                    <a:lnTo>
                      <a:pt x="71" y="661"/>
                    </a:lnTo>
                    <a:lnTo>
                      <a:pt x="71" y="652"/>
                    </a:lnTo>
                    <a:lnTo>
                      <a:pt x="71" y="652"/>
                    </a:lnTo>
                    <a:lnTo>
                      <a:pt x="71" y="652"/>
                    </a:lnTo>
                    <a:lnTo>
                      <a:pt x="71" y="652"/>
                    </a:lnTo>
                    <a:lnTo>
                      <a:pt x="71" y="652"/>
                    </a:lnTo>
                    <a:lnTo>
                      <a:pt x="71" y="643"/>
                    </a:lnTo>
                    <a:lnTo>
                      <a:pt x="71" y="643"/>
                    </a:lnTo>
                    <a:lnTo>
                      <a:pt x="71" y="643"/>
                    </a:lnTo>
                    <a:lnTo>
                      <a:pt x="71" y="643"/>
                    </a:lnTo>
                    <a:lnTo>
                      <a:pt x="71" y="643"/>
                    </a:lnTo>
                    <a:lnTo>
                      <a:pt x="71" y="643"/>
                    </a:lnTo>
                    <a:lnTo>
                      <a:pt x="71" y="634"/>
                    </a:lnTo>
                    <a:lnTo>
                      <a:pt x="71" y="634"/>
                    </a:lnTo>
                    <a:lnTo>
                      <a:pt x="71" y="634"/>
                    </a:lnTo>
                    <a:lnTo>
                      <a:pt x="71" y="634"/>
                    </a:lnTo>
                    <a:lnTo>
                      <a:pt x="71" y="634"/>
                    </a:lnTo>
                    <a:lnTo>
                      <a:pt x="71" y="634"/>
                    </a:lnTo>
                    <a:lnTo>
                      <a:pt x="71" y="625"/>
                    </a:lnTo>
                    <a:lnTo>
                      <a:pt x="62" y="625"/>
                    </a:lnTo>
                    <a:lnTo>
                      <a:pt x="62" y="625"/>
                    </a:lnTo>
                    <a:lnTo>
                      <a:pt x="62" y="625"/>
                    </a:lnTo>
                    <a:lnTo>
                      <a:pt x="62" y="616"/>
                    </a:lnTo>
                    <a:lnTo>
                      <a:pt x="62" y="616"/>
                    </a:lnTo>
                    <a:lnTo>
                      <a:pt x="62" y="616"/>
                    </a:lnTo>
                    <a:lnTo>
                      <a:pt x="53" y="607"/>
                    </a:lnTo>
                    <a:lnTo>
                      <a:pt x="53" y="607"/>
                    </a:lnTo>
                    <a:lnTo>
                      <a:pt x="53" y="607"/>
                    </a:lnTo>
                    <a:lnTo>
                      <a:pt x="53" y="598"/>
                    </a:lnTo>
                    <a:lnTo>
                      <a:pt x="53" y="598"/>
                    </a:lnTo>
                    <a:lnTo>
                      <a:pt x="53" y="590"/>
                    </a:lnTo>
                    <a:lnTo>
                      <a:pt x="53" y="590"/>
                    </a:lnTo>
                    <a:lnTo>
                      <a:pt x="53" y="581"/>
                    </a:lnTo>
                    <a:lnTo>
                      <a:pt x="44" y="581"/>
                    </a:lnTo>
                    <a:lnTo>
                      <a:pt x="44" y="581"/>
                    </a:lnTo>
                    <a:lnTo>
                      <a:pt x="44" y="572"/>
                    </a:lnTo>
                    <a:lnTo>
                      <a:pt x="44" y="572"/>
                    </a:lnTo>
                    <a:lnTo>
                      <a:pt x="44" y="563"/>
                    </a:lnTo>
                    <a:lnTo>
                      <a:pt x="44" y="563"/>
                    </a:lnTo>
                    <a:lnTo>
                      <a:pt x="44" y="563"/>
                    </a:lnTo>
                    <a:lnTo>
                      <a:pt x="44" y="554"/>
                    </a:lnTo>
                    <a:lnTo>
                      <a:pt x="44" y="554"/>
                    </a:lnTo>
                    <a:lnTo>
                      <a:pt x="44" y="554"/>
                    </a:lnTo>
                    <a:lnTo>
                      <a:pt x="44" y="545"/>
                    </a:lnTo>
                    <a:lnTo>
                      <a:pt x="44" y="545"/>
                    </a:lnTo>
                    <a:lnTo>
                      <a:pt x="44" y="545"/>
                    </a:lnTo>
                    <a:lnTo>
                      <a:pt x="44" y="536"/>
                    </a:lnTo>
                    <a:lnTo>
                      <a:pt x="44" y="536"/>
                    </a:lnTo>
                    <a:lnTo>
                      <a:pt x="44" y="527"/>
                    </a:lnTo>
                    <a:lnTo>
                      <a:pt x="53" y="527"/>
                    </a:lnTo>
                    <a:lnTo>
                      <a:pt x="53" y="527"/>
                    </a:lnTo>
                    <a:lnTo>
                      <a:pt x="53" y="518"/>
                    </a:lnTo>
                    <a:lnTo>
                      <a:pt x="53" y="518"/>
                    </a:lnTo>
                    <a:lnTo>
                      <a:pt x="53" y="518"/>
                    </a:lnTo>
                    <a:lnTo>
                      <a:pt x="53" y="509"/>
                    </a:lnTo>
                    <a:lnTo>
                      <a:pt x="53" y="509"/>
                    </a:lnTo>
                    <a:lnTo>
                      <a:pt x="53" y="509"/>
                    </a:lnTo>
                    <a:lnTo>
                      <a:pt x="53" y="500"/>
                    </a:lnTo>
                    <a:lnTo>
                      <a:pt x="53" y="500"/>
                    </a:lnTo>
                    <a:lnTo>
                      <a:pt x="53" y="500"/>
                    </a:lnTo>
                    <a:lnTo>
                      <a:pt x="53" y="500"/>
                    </a:lnTo>
                    <a:lnTo>
                      <a:pt x="53" y="491"/>
                    </a:lnTo>
                    <a:lnTo>
                      <a:pt x="53" y="491"/>
                    </a:lnTo>
                    <a:lnTo>
                      <a:pt x="53" y="491"/>
                    </a:lnTo>
                    <a:lnTo>
                      <a:pt x="53" y="491"/>
                    </a:lnTo>
                    <a:lnTo>
                      <a:pt x="53" y="491"/>
                    </a:lnTo>
                    <a:lnTo>
                      <a:pt x="62" y="482"/>
                    </a:lnTo>
                    <a:lnTo>
                      <a:pt x="62" y="482"/>
                    </a:lnTo>
                    <a:lnTo>
                      <a:pt x="62" y="482"/>
                    </a:lnTo>
                    <a:lnTo>
                      <a:pt x="62" y="482"/>
                    </a:lnTo>
                    <a:lnTo>
                      <a:pt x="62" y="473"/>
                    </a:lnTo>
                    <a:lnTo>
                      <a:pt x="62" y="473"/>
                    </a:lnTo>
                    <a:lnTo>
                      <a:pt x="71" y="473"/>
                    </a:lnTo>
                    <a:lnTo>
                      <a:pt x="71" y="473"/>
                    </a:lnTo>
                    <a:lnTo>
                      <a:pt x="71" y="464"/>
                    </a:lnTo>
                    <a:lnTo>
                      <a:pt x="71" y="464"/>
                    </a:lnTo>
                    <a:lnTo>
                      <a:pt x="71" y="464"/>
                    </a:lnTo>
                    <a:lnTo>
                      <a:pt x="71" y="464"/>
                    </a:lnTo>
                    <a:lnTo>
                      <a:pt x="71" y="456"/>
                    </a:lnTo>
                    <a:lnTo>
                      <a:pt x="80" y="456"/>
                    </a:lnTo>
                    <a:lnTo>
                      <a:pt x="80" y="456"/>
                    </a:lnTo>
                    <a:lnTo>
                      <a:pt x="80" y="456"/>
                    </a:lnTo>
                    <a:lnTo>
                      <a:pt x="80" y="447"/>
                    </a:lnTo>
                    <a:lnTo>
                      <a:pt x="80" y="447"/>
                    </a:lnTo>
                    <a:lnTo>
                      <a:pt x="80" y="447"/>
                    </a:lnTo>
                    <a:lnTo>
                      <a:pt x="80" y="438"/>
                    </a:lnTo>
                    <a:lnTo>
                      <a:pt x="80" y="438"/>
                    </a:lnTo>
                    <a:lnTo>
                      <a:pt x="80" y="429"/>
                    </a:lnTo>
                    <a:lnTo>
                      <a:pt x="80" y="429"/>
                    </a:lnTo>
                    <a:lnTo>
                      <a:pt x="80" y="420"/>
                    </a:lnTo>
                    <a:lnTo>
                      <a:pt x="80" y="420"/>
                    </a:lnTo>
                    <a:lnTo>
                      <a:pt x="80" y="420"/>
                    </a:lnTo>
                    <a:lnTo>
                      <a:pt x="80" y="411"/>
                    </a:lnTo>
                    <a:lnTo>
                      <a:pt x="80" y="411"/>
                    </a:lnTo>
                    <a:lnTo>
                      <a:pt x="80" y="411"/>
                    </a:lnTo>
                    <a:lnTo>
                      <a:pt x="80" y="402"/>
                    </a:lnTo>
                    <a:lnTo>
                      <a:pt x="80" y="402"/>
                    </a:lnTo>
                    <a:lnTo>
                      <a:pt x="80" y="402"/>
                    </a:lnTo>
                    <a:lnTo>
                      <a:pt x="80" y="402"/>
                    </a:lnTo>
                    <a:lnTo>
                      <a:pt x="80" y="402"/>
                    </a:lnTo>
                    <a:lnTo>
                      <a:pt x="80" y="393"/>
                    </a:lnTo>
                    <a:lnTo>
                      <a:pt x="80" y="393"/>
                    </a:lnTo>
                    <a:lnTo>
                      <a:pt x="71" y="393"/>
                    </a:lnTo>
                    <a:lnTo>
                      <a:pt x="71" y="393"/>
                    </a:lnTo>
                    <a:lnTo>
                      <a:pt x="71" y="393"/>
                    </a:lnTo>
                    <a:lnTo>
                      <a:pt x="62" y="393"/>
                    </a:lnTo>
                    <a:lnTo>
                      <a:pt x="62" y="393"/>
                    </a:lnTo>
                    <a:lnTo>
                      <a:pt x="62" y="393"/>
                    </a:lnTo>
                    <a:lnTo>
                      <a:pt x="62" y="393"/>
                    </a:lnTo>
                    <a:lnTo>
                      <a:pt x="53" y="393"/>
                    </a:lnTo>
                    <a:lnTo>
                      <a:pt x="53" y="393"/>
                    </a:lnTo>
                    <a:lnTo>
                      <a:pt x="53" y="393"/>
                    </a:lnTo>
                    <a:lnTo>
                      <a:pt x="53" y="393"/>
                    </a:lnTo>
                    <a:lnTo>
                      <a:pt x="53" y="393"/>
                    </a:lnTo>
                    <a:lnTo>
                      <a:pt x="44" y="393"/>
                    </a:lnTo>
                    <a:lnTo>
                      <a:pt x="44" y="393"/>
                    </a:lnTo>
                    <a:lnTo>
                      <a:pt x="44" y="393"/>
                    </a:lnTo>
                    <a:lnTo>
                      <a:pt x="44" y="393"/>
                    </a:lnTo>
                    <a:lnTo>
                      <a:pt x="35" y="393"/>
                    </a:lnTo>
                    <a:lnTo>
                      <a:pt x="35" y="393"/>
                    </a:lnTo>
                    <a:lnTo>
                      <a:pt x="35" y="393"/>
                    </a:lnTo>
                    <a:lnTo>
                      <a:pt x="26" y="393"/>
                    </a:lnTo>
                    <a:lnTo>
                      <a:pt x="26" y="393"/>
                    </a:lnTo>
                    <a:lnTo>
                      <a:pt x="26" y="393"/>
                    </a:lnTo>
                    <a:lnTo>
                      <a:pt x="18" y="393"/>
                    </a:lnTo>
                    <a:lnTo>
                      <a:pt x="18" y="393"/>
                    </a:lnTo>
                    <a:lnTo>
                      <a:pt x="18" y="393"/>
                    </a:lnTo>
                    <a:lnTo>
                      <a:pt x="18" y="393"/>
                    </a:lnTo>
                    <a:lnTo>
                      <a:pt x="18" y="393"/>
                    </a:lnTo>
                    <a:lnTo>
                      <a:pt x="18" y="393"/>
                    </a:lnTo>
                    <a:lnTo>
                      <a:pt x="18" y="393"/>
                    </a:lnTo>
                    <a:lnTo>
                      <a:pt x="18" y="393"/>
                    </a:lnTo>
                    <a:lnTo>
                      <a:pt x="18" y="384"/>
                    </a:lnTo>
                    <a:lnTo>
                      <a:pt x="18" y="384"/>
                    </a:lnTo>
                    <a:lnTo>
                      <a:pt x="18" y="384"/>
                    </a:lnTo>
                    <a:lnTo>
                      <a:pt x="18" y="384"/>
                    </a:lnTo>
                    <a:lnTo>
                      <a:pt x="18" y="384"/>
                    </a:lnTo>
                    <a:lnTo>
                      <a:pt x="18" y="384"/>
                    </a:lnTo>
                    <a:lnTo>
                      <a:pt x="18" y="375"/>
                    </a:lnTo>
                    <a:lnTo>
                      <a:pt x="18" y="375"/>
                    </a:lnTo>
                    <a:lnTo>
                      <a:pt x="18" y="375"/>
                    </a:lnTo>
                    <a:lnTo>
                      <a:pt x="18" y="375"/>
                    </a:lnTo>
                    <a:lnTo>
                      <a:pt x="18" y="375"/>
                    </a:lnTo>
                    <a:lnTo>
                      <a:pt x="18" y="375"/>
                    </a:lnTo>
                    <a:lnTo>
                      <a:pt x="26" y="375"/>
                    </a:lnTo>
                    <a:lnTo>
                      <a:pt x="26" y="375"/>
                    </a:lnTo>
                    <a:lnTo>
                      <a:pt x="26" y="375"/>
                    </a:lnTo>
                    <a:lnTo>
                      <a:pt x="26" y="375"/>
                    </a:lnTo>
                    <a:lnTo>
                      <a:pt x="26" y="375"/>
                    </a:lnTo>
                    <a:lnTo>
                      <a:pt x="26" y="366"/>
                    </a:lnTo>
                    <a:lnTo>
                      <a:pt x="26" y="366"/>
                    </a:lnTo>
                    <a:lnTo>
                      <a:pt x="26" y="366"/>
                    </a:lnTo>
                    <a:lnTo>
                      <a:pt x="35" y="366"/>
                    </a:lnTo>
                    <a:lnTo>
                      <a:pt x="35" y="357"/>
                    </a:lnTo>
                    <a:lnTo>
                      <a:pt x="35" y="357"/>
                    </a:lnTo>
                    <a:lnTo>
                      <a:pt x="35" y="357"/>
                    </a:lnTo>
                    <a:lnTo>
                      <a:pt x="35" y="357"/>
                    </a:lnTo>
                    <a:lnTo>
                      <a:pt x="35" y="348"/>
                    </a:lnTo>
                    <a:lnTo>
                      <a:pt x="35" y="348"/>
                    </a:lnTo>
                    <a:lnTo>
                      <a:pt x="35" y="348"/>
                    </a:lnTo>
                    <a:lnTo>
                      <a:pt x="35" y="339"/>
                    </a:lnTo>
                    <a:lnTo>
                      <a:pt x="35" y="339"/>
                    </a:lnTo>
                    <a:lnTo>
                      <a:pt x="35" y="339"/>
                    </a:lnTo>
                    <a:lnTo>
                      <a:pt x="35" y="331"/>
                    </a:lnTo>
                    <a:lnTo>
                      <a:pt x="35" y="331"/>
                    </a:lnTo>
                    <a:lnTo>
                      <a:pt x="35" y="331"/>
                    </a:lnTo>
                    <a:lnTo>
                      <a:pt x="35" y="322"/>
                    </a:lnTo>
                    <a:lnTo>
                      <a:pt x="26" y="322"/>
                    </a:lnTo>
                    <a:lnTo>
                      <a:pt x="26" y="313"/>
                    </a:lnTo>
                    <a:lnTo>
                      <a:pt x="26" y="313"/>
                    </a:lnTo>
                    <a:lnTo>
                      <a:pt x="26" y="313"/>
                    </a:lnTo>
                    <a:lnTo>
                      <a:pt x="26" y="304"/>
                    </a:lnTo>
                    <a:lnTo>
                      <a:pt x="26" y="304"/>
                    </a:lnTo>
                    <a:lnTo>
                      <a:pt x="26" y="295"/>
                    </a:lnTo>
                    <a:lnTo>
                      <a:pt x="26" y="295"/>
                    </a:lnTo>
                    <a:lnTo>
                      <a:pt x="26" y="286"/>
                    </a:lnTo>
                    <a:lnTo>
                      <a:pt x="26" y="286"/>
                    </a:lnTo>
                    <a:lnTo>
                      <a:pt x="26" y="286"/>
                    </a:lnTo>
                    <a:lnTo>
                      <a:pt x="26" y="277"/>
                    </a:lnTo>
                    <a:lnTo>
                      <a:pt x="35" y="277"/>
                    </a:lnTo>
                    <a:lnTo>
                      <a:pt x="35" y="268"/>
                    </a:lnTo>
                    <a:lnTo>
                      <a:pt x="35" y="268"/>
                    </a:lnTo>
                    <a:lnTo>
                      <a:pt x="35" y="268"/>
                    </a:lnTo>
                    <a:lnTo>
                      <a:pt x="35" y="268"/>
                    </a:lnTo>
                    <a:lnTo>
                      <a:pt x="35" y="268"/>
                    </a:lnTo>
                    <a:lnTo>
                      <a:pt x="35" y="268"/>
                    </a:lnTo>
                    <a:lnTo>
                      <a:pt x="35" y="268"/>
                    </a:lnTo>
                    <a:lnTo>
                      <a:pt x="44" y="268"/>
                    </a:lnTo>
                    <a:lnTo>
                      <a:pt x="44" y="268"/>
                    </a:lnTo>
                    <a:lnTo>
                      <a:pt x="44" y="268"/>
                    </a:lnTo>
                    <a:lnTo>
                      <a:pt x="44" y="268"/>
                    </a:lnTo>
                    <a:lnTo>
                      <a:pt x="44" y="268"/>
                    </a:lnTo>
                    <a:lnTo>
                      <a:pt x="44" y="268"/>
                    </a:lnTo>
                    <a:lnTo>
                      <a:pt x="53" y="268"/>
                    </a:lnTo>
                    <a:lnTo>
                      <a:pt x="53" y="268"/>
                    </a:lnTo>
                    <a:lnTo>
                      <a:pt x="53" y="268"/>
                    </a:lnTo>
                    <a:lnTo>
                      <a:pt x="53" y="268"/>
                    </a:lnTo>
                    <a:lnTo>
                      <a:pt x="53" y="268"/>
                    </a:lnTo>
                    <a:lnTo>
                      <a:pt x="62" y="268"/>
                    </a:lnTo>
                    <a:lnTo>
                      <a:pt x="62" y="268"/>
                    </a:lnTo>
                    <a:lnTo>
                      <a:pt x="62" y="268"/>
                    </a:lnTo>
                    <a:lnTo>
                      <a:pt x="62" y="268"/>
                    </a:lnTo>
                    <a:lnTo>
                      <a:pt x="62" y="268"/>
                    </a:lnTo>
                    <a:lnTo>
                      <a:pt x="62" y="268"/>
                    </a:lnTo>
                    <a:lnTo>
                      <a:pt x="71" y="268"/>
                    </a:lnTo>
                    <a:lnTo>
                      <a:pt x="71" y="268"/>
                    </a:lnTo>
                    <a:lnTo>
                      <a:pt x="71" y="268"/>
                    </a:lnTo>
                    <a:lnTo>
                      <a:pt x="71" y="268"/>
                    </a:lnTo>
                    <a:lnTo>
                      <a:pt x="71" y="268"/>
                    </a:lnTo>
                    <a:lnTo>
                      <a:pt x="71" y="259"/>
                    </a:lnTo>
                    <a:lnTo>
                      <a:pt x="71" y="259"/>
                    </a:lnTo>
                    <a:lnTo>
                      <a:pt x="71" y="259"/>
                    </a:lnTo>
                    <a:lnTo>
                      <a:pt x="71" y="259"/>
                    </a:lnTo>
                    <a:lnTo>
                      <a:pt x="71" y="259"/>
                    </a:lnTo>
                    <a:lnTo>
                      <a:pt x="71" y="250"/>
                    </a:lnTo>
                    <a:lnTo>
                      <a:pt x="71" y="250"/>
                    </a:lnTo>
                    <a:lnTo>
                      <a:pt x="71" y="250"/>
                    </a:lnTo>
                    <a:lnTo>
                      <a:pt x="80" y="250"/>
                    </a:lnTo>
                    <a:lnTo>
                      <a:pt x="80" y="250"/>
                    </a:lnTo>
                    <a:lnTo>
                      <a:pt x="80" y="241"/>
                    </a:lnTo>
                    <a:lnTo>
                      <a:pt x="80" y="241"/>
                    </a:lnTo>
                    <a:lnTo>
                      <a:pt x="80" y="241"/>
                    </a:lnTo>
                    <a:lnTo>
                      <a:pt x="80" y="232"/>
                    </a:lnTo>
                    <a:lnTo>
                      <a:pt x="80" y="232"/>
                    </a:lnTo>
                    <a:lnTo>
                      <a:pt x="80" y="232"/>
                    </a:lnTo>
                    <a:lnTo>
                      <a:pt x="80" y="223"/>
                    </a:lnTo>
                    <a:lnTo>
                      <a:pt x="80" y="223"/>
                    </a:lnTo>
                    <a:lnTo>
                      <a:pt x="80" y="214"/>
                    </a:lnTo>
                    <a:lnTo>
                      <a:pt x="80" y="214"/>
                    </a:lnTo>
                    <a:lnTo>
                      <a:pt x="80" y="206"/>
                    </a:lnTo>
                    <a:lnTo>
                      <a:pt x="80" y="206"/>
                    </a:lnTo>
                    <a:lnTo>
                      <a:pt x="80" y="197"/>
                    </a:lnTo>
                    <a:lnTo>
                      <a:pt x="80" y="197"/>
                    </a:lnTo>
                    <a:lnTo>
                      <a:pt x="80" y="188"/>
                    </a:lnTo>
                    <a:lnTo>
                      <a:pt x="80" y="188"/>
                    </a:lnTo>
                    <a:lnTo>
                      <a:pt x="80" y="179"/>
                    </a:lnTo>
                    <a:lnTo>
                      <a:pt x="80" y="179"/>
                    </a:lnTo>
                    <a:lnTo>
                      <a:pt x="80" y="170"/>
                    </a:lnTo>
                    <a:lnTo>
                      <a:pt x="80" y="170"/>
                    </a:lnTo>
                    <a:lnTo>
                      <a:pt x="80" y="161"/>
                    </a:lnTo>
                    <a:lnTo>
                      <a:pt x="80" y="161"/>
                    </a:lnTo>
                    <a:lnTo>
                      <a:pt x="80" y="152"/>
                    </a:lnTo>
                    <a:lnTo>
                      <a:pt x="80" y="152"/>
                    </a:lnTo>
                    <a:lnTo>
                      <a:pt x="80" y="152"/>
                    </a:lnTo>
                    <a:lnTo>
                      <a:pt x="80" y="143"/>
                    </a:lnTo>
                    <a:lnTo>
                      <a:pt x="80" y="143"/>
                    </a:lnTo>
                    <a:lnTo>
                      <a:pt x="80" y="143"/>
                    </a:lnTo>
                    <a:lnTo>
                      <a:pt x="89" y="143"/>
                    </a:lnTo>
                    <a:lnTo>
                      <a:pt x="89" y="143"/>
                    </a:lnTo>
                    <a:lnTo>
                      <a:pt x="89" y="134"/>
                    </a:lnTo>
                    <a:lnTo>
                      <a:pt x="89" y="134"/>
                    </a:lnTo>
                    <a:lnTo>
                      <a:pt x="89" y="134"/>
                    </a:lnTo>
                    <a:lnTo>
                      <a:pt x="89" y="134"/>
                    </a:lnTo>
                    <a:lnTo>
                      <a:pt x="89" y="134"/>
                    </a:lnTo>
                    <a:lnTo>
                      <a:pt x="98" y="134"/>
                    </a:lnTo>
                    <a:lnTo>
                      <a:pt x="98" y="134"/>
                    </a:lnTo>
                    <a:lnTo>
                      <a:pt x="98" y="134"/>
                    </a:lnTo>
                    <a:lnTo>
                      <a:pt x="98" y="134"/>
                    </a:lnTo>
                    <a:lnTo>
                      <a:pt x="107" y="134"/>
                    </a:lnTo>
                    <a:lnTo>
                      <a:pt x="107" y="134"/>
                    </a:lnTo>
                    <a:lnTo>
                      <a:pt x="107" y="134"/>
                    </a:lnTo>
                    <a:lnTo>
                      <a:pt x="107" y="125"/>
                    </a:lnTo>
                    <a:lnTo>
                      <a:pt x="107" y="125"/>
                    </a:lnTo>
                    <a:lnTo>
                      <a:pt x="107" y="125"/>
                    </a:lnTo>
                    <a:lnTo>
                      <a:pt x="116" y="125"/>
                    </a:lnTo>
                    <a:lnTo>
                      <a:pt x="116" y="125"/>
                    </a:lnTo>
                    <a:lnTo>
                      <a:pt x="116" y="125"/>
                    </a:lnTo>
                    <a:lnTo>
                      <a:pt x="116" y="125"/>
                    </a:lnTo>
                    <a:lnTo>
                      <a:pt x="116" y="125"/>
                    </a:lnTo>
                    <a:lnTo>
                      <a:pt x="116" y="125"/>
                    </a:lnTo>
                    <a:lnTo>
                      <a:pt x="116" y="116"/>
                    </a:lnTo>
                    <a:lnTo>
                      <a:pt x="116" y="116"/>
                    </a:lnTo>
                    <a:lnTo>
                      <a:pt x="116" y="116"/>
                    </a:lnTo>
                    <a:lnTo>
                      <a:pt x="116" y="116"/>
                    </a:lnTo>
                    <a:lnTo>
                      <a:pt x="116" y="116"/>
                    </a:lnTo>
                    <a:lnTo>
                      <a:pt x="116" y="107"/>
                    </a:lnTo>
                    <a:lnTo>
                      <a:pt x="116" y="107"/>
                    </a:lnTo>
                    <a:lnTo>
                      <a:pt x="116" y="107"/>
                    </a:lnTo>
                    <a:lnTo>
                      <a:pt x="116" y="107"/>
                    </a:lnTo>
                    <a:lnTo>
                      <a:pt x="116" y="98"/>
                    </a:lnTo>
                    <a:lnTo>
                      <a:pt x="116" y="98"/>
                    </a:lnTo>
                    <a:lnTo>
                      <a:pt x="116" y="89"/>
                    </a:lnTo>
                    <a:lnTo>
                      <a:pt x="116" y="89"/>
                    </a:lnTo>
                    <a:lnTo>
                      <a:pt x="107" y="89"/>
                    </a:lnTo>
                    <a:lnTo>
                      <a:pt x="107" y="81"/>
                    </a:lnTo>
                    <a:lnTo>
                      <a:pt x="107" y="81"/>
                    </a:lnTo>
                    <a:lnTo>
                      <a:pt x="107" y="81"/>
                    </a:lnTo>
                    <a:lnTo>
                      <a:pt x="107" y="81"/>
                    </a:lnTo>
                    <a:lnTo>
                      <a:pt x="107" y="72"/>
                    </a:lnTo>
                    <a:lnTo>
                      <a:pt x="107" y="72"/>
                    </a:lnTo>
                    <a:lnTo>
                      <a:pt x="107" y="72"/>
                    </a:lnTo>
                    <a:lnTo>
                      <a:pt x="107" y="72"/>
                    </a:lnTo>
                    <a:lnTo>
                      <a:pt x="107" y="63"/>
                    </a:lnTo>
                    <a:lnTo>
                      <a:pt x="98" y="63"/>
                    </a:lnTo>
                    <a:lnTo>
                      <a:pt x="98" y="63"/>
                    </a:lnTo>
                    <a:lnTo>
                      <a:pt x="98" y="54"/>
                    </a:lnTo>
                    <a:lnTo>
                      <a:pt x="98" y="54"/>
                    </a:lnTo>
                    <a:lnTo>
                      <a:pt x="98" y="54"/>
                    </a:lnTo>
                    <a:lnTo>
                      <a:pt x="98" y="54"/>
                    </a:lnTo>
                    <a:lnTo>
                      <a:pt x="98" y="54"/>
                    </a:lnTo>
                    <a:lnTo>
                      <a:pt x="98" y="54"/>
                    </a:lnTo>
                    <a:lnTo>
                      <a:pt x="98" y="36"/>
                    </a:lnTo>
                    <a:lnTo>
                      <a:pt x="89" y="18"/>
                    </a:lnTo>
                    <a:lnTo>
                      <a:pt x="107" y="18"/>
                    </a:lnTo>
                    <a:lnTo>
                      <a:pt x="125" y="18"/>
                    </a:lnTo>
                    <a:lnTo>
                      <a:pt x="125" y="0"/>
                    </a:lnTo>
                    <a:lnTo>
                      <a:pt x="134" y="0"/>
                    </a:lnTo>
                    <a:lnTo>
                      <a:pt x="152" y="0"/>
                    </a:lnTo>
                    <a:lnTo>
                      <a:pt x="169" y="9"/>
                    </a:lnTo>
                    <a:lnTo>
                      <a:pt x="178" y="18"/>
                    </a:lnTo>
                    <a:lnTo>
                      <a:pt x="178" y="36"/>
                    </a:lnTo>
                    <a:lnTo>
                      <a:pt x="196" y="36"/>
                    </a:lnTo>
                    <a:lnTo>
                      <a:pt x="214" y="54"/>
                    </a:lnTo>
                    <a:lnTo>
                      <a:pt x="232" y="63"/>
                    </a:lnTo>
                    <a:lnTo>
                      <a:pt x="232" y="72"/>
                    </a:lnTo>
                    <a:lnTo>
                      <a:pt x="259" y="72"/>
                    </a:lnTo>
                    <a:lnTo>
                      <a:pt x="277" y="63"/>
                    </a:lnTo>
                    <a:lnTo>
                      <a:pt x="285" y="72"/>
                    </a:lnTo>
                    <a:lnTo>
                      <a:pt x="294" y="89"/>
                    </a:lnTo>
                    <a:lnTo>
                      <a:pt x="303" y="98"/>
                    </a:lnTo>
                    <a:lnTo>
                      <a:pt x="321" y="98"/>
                    </a:lnTo>
                    <a:lnTo>
                      <a:pt x="321" y="98"/>
                    </a:lnTo>
                    <a:lnTo>
                      <a:pt x="321" y="98"/>
                    </a:lnTo>
                    <a:lnTo>
                      <a:pt x="321" y="98"/>
                    </a:lnTo>
                    <a:lnTo>
                      <a:pt x="321" y="98"/>
                    </a:lnTo>
                    <a:lnTo>
                      <a:pt x="321" y="98"/>
                    </a:lnTo>
                    <a:lnTo>
                      <a:pt x="321" y="89"/>
                    </a:lnTo>
                    <a:lnTo>
                      <a:pt x="321" y="89"/>
                    </a:lnTo>
                    <a:lnTo>
                      <a:pt x="321" y="89"/>
                    </a:lnTo>
                    <a:lnTo>
                      <a:pt x="321" y="89"/>
                    </a:lnTo>
                    <a:lnTo>
                      <a:pt x="330" y="89"/>
                    </a:lnTo>
                    <a:lnTo>
                      <a:pt x="330" y="89"/>
                    </a:lnTo>
                    <a:lnTo>
                      <a:pt x="330" y="89"/>
                    </a:lnTo>
                    <a:lnTo>
                      <a:pt x="330" y="81"/>
                    </a:lnTo>
                    <a:lnTo>
                      <a:pt x="330" y="81"/>
                    </a:lnTo>
                    <a:lnTo>
                      <a:pt x="330" y="81"/>
                    </a:lnTo>
                    <a:lnTo>
                      <a:pt x="330" y="81"/>
                    </a:lnTo>
                    <a:lnTo>
                      <a:pt x="357" y="81"/>
                    </a:lnTo>
                    <a:lnTo>
                      <a:pt x="384" y="81"/>
                    </a:lnTo>
                    <a:lnTo>
                      <a:pt x="393" y="81"/>
                    </a:lnTo>
                    <a:lnTo>
                      <a:pt x="411" y="89"/>
                    </a:lnTo>
                    <a:lnTo>
                      <a:pt x="411" y="98"/>
                    </a:lnTo>
                    <a:lnTo>
                      <a:pt x="437" y="116"/>
                    </a:lnTo>
                    <a:lnTo>
                      <a:pt x="437" y="116"/>
                    </a:lnTo>
                    <a:lnTo>
                      <a:pt x="428" y="125"/>
                    </a:lnTo>
                    <a:lnTo>
                      <a:pt x="419" y="134"/>
                    </a:lnTo>
                    <a:lnTo>
                      <a:pt x="411" y="143"/>
                    </a:lnTo>
                    <a:lnTo>
                      <a:pt x="402" y="152"/>
                    </a:lnTo>
                    <a:lnTo>
                      <a:pt x="402" y="161"/>
                    </a:lnTo>
                    <a:lnTo>
                      <a:pt x="428" y="170"/>
                    </a:lnTo>
                    <a:lnTo>
                      <a:pt x="446" y="170"/>
                    </a:lnTo>
                    <a:lnTo>
                      <a:pt x="455" y="179"/>
                    </a:lnTo>
                    <a:lnTo>
                      <a:pt x="464" y="197"/>
                    </a:lnTo>
                    <a:lnTo>
                      <a:pt x="464" y="214"/>
                    </a:lnTo>
                    <a:lnTo>
                      <a:pt x="455" y="232"/>
                    </a:lnTo>
                    <a:lnTo>
                      <a:pt x="446" y="250"/>
                    </a:lnTo>
                    <a:lnTo>
                      <a:pt x="437" y="268"/>
                    </a:lnTo>
                    <a:lnTo>
                      <a:pt x="437" y="277"/>
                    </a:lnTo>
                    <a:lnTo>
                      <a:pt x="428" y="286"/>
                    </a:lnTo>
                    <a:lnTo>
                      <a:pt x="419" y="304"/>
                    </a:lnTo>
                    <a:lnTo>
                      <a:pt x="411" y="331"/>
                    </a:lnTo>
                    <a:lnTo>
                      <a:pt x="393" y="348"/>
                    </a:lnTo>
                    <a:lnTo>
                      <a:pt x="402" y="366"/>
                    </a:lnTo>
                    <a:lnTo>
                      <a:pt x="411" y="384"/>
                    </a:lnTo>
                    <a:lnTo>
                      <a:pt x="437" y="384"/>
                    </a:lnTo>
                    <a:lnTo>
                      <a:pt x="464" y="384"/>
                    </a:lnTo>
                    <a:lnTo>
                      <a:pt x="482" y="393"/>
                    </a:lnTo>
                    <a:lnTo>
                      <a:pt x="500" y="402"/>
                    </a:lnTo>
                    <a:lnTo>
                      <a:pt x="518" y="411"/>
                    </a:lnTo>
                  </a:path>
                </a:pathLst>
              </a:custGeom>
              <a:solidFill>
                <a:schemeClr val="tx2">
                  <a:lumMod val="60000"/>
                  <a:lumOff val="40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60" name="Freeform 67">
                <a:extLst>
                  <a:ext uri="{FF2B5EF4-FFF2-40B4-BE49-F238E27FC236}">
                    <a16:creationId xmlns:a16="http://schemas.microsoft.com/office/drawing/2014/main" id="{7CB92897-51F2-4EEC-82E4-E30E1296A32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4765" y="9446"/>
                <a:ext cx="356" cy="400"/>
              </a:xfrm>
              <a:custGeom>
                <a:avLst/>
                <a:gdLst>
                  <a:gd name="T0" fmla="*/ 9 w 161"/>
                  <a:gd name="T1" fmla="*/ 0 h 169"/>
                  <a:gd name="T2" fmla="*/ 18 w 161"/>
                  <a:gd name="T3" fmla="*/ 0 h 169"/>
                  <a:gd name="T4" fmla="*/ 27 w 161"/>
                  <a:gd name="T5" fmla="*/ 9 h 169"/>
                  <a:gd name="T6" fmla="*/ 27 w 161"/>
                  <a:gd name="T7" fmla="*/ 18 h 169"/>
                  <a:gd name="T8" fmla="*/ 36 w 161"/>
                  <a:gd name="T9" fmla="*/ 26 h 169"/>
                  <a:gd name="T10" fmla="*/ 45 w 161"/>
                  <a:gd name="T11" fmla="*/ 26 h 169"/>
                  <a:gd name="T12" fmla="*/ 54 w 161"/>
                  <a:gd name="T13" fmla="*/ 35 h 169"/>
                  <a:gd name="T14" fmla="*/ 63 w 161"/>
                  <a:gd name="T15" fmla="*/ 35 h 169"/>
                  <a:gd name="T16" fmla="*/ 72 w 161"/>
                  <a:gd name="T17" fmla="*/ 35 h 169"/>
                  <a:gd name="T18" fmla="*/ 90 w 161"/>
                  <a:gd name="T19" fmla="*/ 26 h 169"/>
                  <a:gd name="T20" fmla="*/ 98 w 161"/>
                  <a:gd name="T21" fmla="*/ 35 h 169"/>
                  <a:gd name="T22" fmla="*/ 107 w 161"/>
                  <a:gd name="T23" fmla="*/ 44 h 169"/>
                  <a:gd name="T24" fmla="*/ 116 w 161"/>
                  <a:gd name="T25" fmla="*/ 53 h 169"/>
                  <a:gd name="T26" fmla="*/ 116 w 161"/>
                  <a:gd name="T27" fmla="*/ 62 h 169"/>
                  <a:gd name="T28" fmla="*/ 125 w 161"/>
                  <a:gd name="T29" fmla="*/ 62 h 169"/>
                  <a:gd name="T30" fmla="*/ 125 w 161"/>
                  <a:gd name="T31" fmla="*/ 62 h 169"/>
                  <a:gd name="T32" fmla="*/ 134 w 161"/>
                  <a:gd name="T33" fmla="*/ 62 h 169"/>
                  <a:gd name="T34" fmla="*/ 152 w 161"/>
                  <a:gd name="T35" fmla="*/ 62 h 169"/>
                  <a:gd name="T36" fmla="*/ 152 w 161"/>
                  <a:gd name="T37" fmla="*/ 62 h 169"/>
                  <a:gd name="T38" fmla="*/ 152 w 161"/>
                  <a:gd name="T39" fmla="*/ 71 h 169"/>
                  <a:gd name="T40" fmla="*/ 152 w 161"/>
                  <a:gd name="T41" fmla="*/ 80 h 169"/>
                  <a:gd name="T42" fmla="*/ 161 w 161"/>
                  <a:gd name="T43" fmla="*/ 98 h 169"/>
                  <a:gd name="T44" fmla="*/ 152 w 161"/>
                  <a:gd name="T45" fmla="*/ 107 h 169"/>
                  <a:gd name="T46" fmla="*/ 152 w 161"/>
                  <a:gd name="T47" fmla="*/ 125 h 169"/>
                  <a:gd name="T48" fmla="*/ 152 w 161"/>
                  <a:gd name="T49" fmla="*/ 134 h 169"/>
                  <a:gd name="T50" fmla="*/ 143 w 161"/>
                  <a:gd name="T51" fmla="*/ 134 h 169"/>
                  <a:gd name="T52" fmla="*/ 143 w 161"/>
                  <a:gd name="T53" fmla="*/ 143 h 169"/>
                  <a:gd name="T54" fmla="*/ 125 w 161"/>
                  <a:gd name="T55" fmla="*/ 143 h 169"/>
                  <a:gd name="T56" fmla="*/ 125 w 161"/>
                  <a:gd name="T57" fmla="*/ 143 h 169"/>
                  <a:gd name="T58" fmla="*/ 125 w 161"/>
                  <a:gd name="T59" fmla="*/ 151 h 169"/>
                  <a:gd name="T60" fmla="*/ 116 w 161"/>
                  <a:gd name="T61" fmla="*/ 160 h 169"/>
                  <a:gd name="T62" fmla="*/ 116 w 161"/>
                  <a:gd name="T63" fmla="*/ 160 h 169"/>
                  <a:gd name="T64" fmla="*/ 107 w 161"/>
                  <a:gd name="T65" fmla="*/ 169 h 169"/>
                  <a:gd name="T66" fmla="*/ 98 w 161"/>
                  <a:gd name="T67" fmla="*/ 169 h 169"/>
                  <a:gd name="T68" fmla="*/ 90 w 161"/>
                  <a:gd name="T69" fmla="*/ 160 h 169"/>
                  <a:gd name="T70" fmla="*/ 72 w 161"/>
                  <a:gd name="T71" fmla="*/ 151 h 169"/>
                  <a:gd name="T72" fmla="*/ 63 w 161"/>
                  <a:gd name="T73" fmla="*/ 143 h 169"/>
                  <a:gd name="T74" fmla="*/ 63 w 161"/>
                  <a:gd name="T75" fmla="*/ 143 h 169"/>
                  <a:gd name="T76" fmla="*/ 54 w 161"/>
                  <a:gd name="T77" fmla="*/ 134 h 169"/>
                  <a:gd name="T78" fmla="*/ 45 w 161"/>
                  <a:gd name="T79" fmla="*/ 125 h 169"/>
                  <a:gd name="T80" fmla="*/ 36 w 161"/>
                  <a:gd name="T81" fmla="*/ 116 h 169"/>
                  <a:gd name="T82" fmla="*/ 27 w 161"/>
                  <a:gd name="T83" fmla="*/ 107 h 169"/>
                  <a:gd name="T84" fmla="*/ 27 w 161"/>
                  <a:gd name="T85" fmla="*/ 98 h 169"/>
                  <a:gd name="T86" fmla="*/ 18 w 161"/>
                  <a:gd name="T87" fmla="*/ 89 h 169"/>
                  <a:gd name="T88" fmla="*/ 9 w 161"/>
                  <a:gd name="T89" fmla="*/ 71 h 169"/>
                  <a:gd name="T90" fmla="*/ 9 w 161"/>
                  <a:gd name="T91" fmla="*/ 62 h 169"/>
                  <a:gd name="T92" fmla="*/ 0 w 161"/>
                  <a:gd name="T93" fmla="*/ 44 h 169"/>
                  <a:gd name="T94" fmla="*/ 0 w 161"/>
                  <a:gd name="T95" fmla="*/ 26 h 169"/>
                  <a:gd name="T96" fmla="*/ 0 w 161"/>
                  <a:gd name="T97" fmla="*/ 18 h 169"/>
                  <a:gd name="T98" fmla="*/ 0 w 161"/>
                  <a:gd name="T99" fmla="*/ 9 h 16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</a:cxnLst>
                <a:rect l="0" t="0" r="r" b="b"/>
                <a:pathLst>
                  <a:path w="161" h="169">
                    <a:moveTo>
                      <a:pt x="0" y="9"/>
                    </a:moveTo>
                    <a:lnTo>
                      <a:pt x="0" y="9"/>
                    </a:lnTo>
                    <a:lnTo>
                      <a:pt x="9" y="0"/>
                    </a:lnTo>
                    <a:lnTo>
                      <a:pt x="9" y="0"/>
                    </a:lnTo>
                    <a:lnTo>
                      <a:pt x="9" y="0"/>
                    </a:lnTo>
                    <a:lnTo>
                      <a:pt x="9" y="0"/>
                    </a:lnTo>
                    <a:lnTo>
                      <a:pt x="9" y="0"/>
                    </a:lnTo>
                    <a:lnTo>
                      <a:pt x="18" y="0"/>
                    </a:lnTo>
                    <a:lnTo>
                      <a:pt x="18" y="0"/>
                    </a:lnTo>
                    <a:lnTo>
                      <a:pt x="18" y="9"/>
                    </a:lnTo>
                    <a:lnTo>
                      <a:pt x="18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18"/>
                    </a:lnTo>
                    <a:lnTo>
                      <a:pt x="27" y="18"/>
                    </a:lnTo>
                    <a:lnTo>
                      <a:pt x="36" y="18"/>
                    </a:lnTo>
                    <a:lnTo>
                      <a:pt x="36" y="18"/>
                    </a:lnTo>
                    <a:lnTo>
                      <a:pt x="36" y="18"/>
                    </a:lnTo>
                    <a:lnTo>
                      <a:pt x="36" y="26"/>
                    </a:lnTo>
                    <a:lnTo>
                      <a:pt x="36" y="26"/>
                    </a:lnTo>
                    <a:lnTo>
                      <a:pt x="36" y="26"/>
                    </a:lnTo>
                    <a:lnTo>
                      <a:pt x="45" y="26"/>
                    </a:lnTo>
                    <a:lnTo>
                      <a:pt x="45" y="26"/>
                    </a:lnTo>
                    <a:lnTo>
                      <a:pt x="45" y="26"/>
                    </a:lnTo>
                    <a:lnTo>
                      <a:pt x="45" y="35"/>
                    </a:lnTo>
                    <a:lnTo>
                      <a:pt x="45" y="35"/>
                    </a:lnTo>
                    <a:lnTo>
                      <a:pt x="54" y="35"/>
                    </a:lnTo>
                    <a:lnTo>
                      <a:pt x="54" y="35"/>
                    </a:lnTo>
                    <a:lnTo>
                      <a:pt x="54" y="35"/>
                    </a:lnTo>
                    <a:lnTo>
                      <a:pt x="54" y="35"/>
                    </a:lnTo>
                    <a:lnTo>
                      <a:pt x="63" y="35"/>
                    </a:lnTo>
                    <a:lnTo>
                      <a:pt x="63" y="35"/>
                    </a:lnTo>
                    <a:lnTo>
                      <a:pt x="63" y="35"/>
                    </a:lnTo>
                    <a:lnTo>
                      <a:pt x="72" y="35"/>
                    </a:lnTo>
                    <a:lnTo>
                      <a:pt x="72" y="35"/>
                    </a:lnTo>
                    <a:lnTo>
                      <a:pt x="72" y="35"/>
                    </a:lnTo>
                    <a:lnTo>
                      <a:pt x="81" y="35"/>
                    </a:lnTo>
                    <a:lnTo>
                      <a:pt x="81" y="26"/>
                    </a:lnTo>
                    <a:lnTo>
                      <a:pt x="90" y="26"/>
                    </a:lnTo>
                    <a:lnTo>
                      <a:pt x="90" y="26"/>
                    </a:lnTo>
                    <a:lnTo>
                      <a:pt x="90" y="35"/>
                    </a:lnTo>
                    <a:lnTo>
                      <a:pt x="98" y="35"/>
                    </a:lnTo>
                    <a:lnTo>
                      <a:pt x="98" y="35"/>
                    </a:lnTo>
                    <a:lnTo>
                      <a:pt x="98" y="35"/>
                    </a:lnTo>
                    <a:lnTo>
                      <a:pt x="107" y="44"/>
                    </a:lnTo>
                    <a:lnTo>
                      <a:pt x="107" y="44"/>
                    </a:lnTo>
                    <a:lnTo>
                      <a:pt x="107" y="44"/>
                    </a:lnTo>
                    <a:lnTo>
                      <a:pt x="107" y="53"/>
                    </a:lnTo>
                    <a:lnTo>
                      <a:pt x="116" y="53"/>
                    </a:lnTo>
                    <a:lnTo>
                      <a:pt x="116" y="53"/>
                    </a:lnTo>
                    <a:lnTo>
                      <a:pt x="116" y="53"/>
                    </a:lnTo>
                    <a:lnTo>
                      <a:pt x="116" y="53"/>
                    </a:lnTo>
                    <a:lnTo>
                      <a:pt x="116" y="53"/>
                    </a:lnTo>
                    <a:lnTo>
                      <a:pt x="116" y="62"/>
                    </a:lnTo>
                    <a:lnTo>
                      <a:pt x="116" y="62"/>
                    </a:lnTo>
                    <a:lnTo>
                      <a:pt x="116" y="62"/>
                    </a:lnTo>
                    <a:lnTo>
                      <a:pt x="125" y="62"/>
                    </a:lnTo>
                    <a:lnTo>
                      <a:pt x="125" y="62"/>
                    </a:lnTo>
                    <a:lnTo>
                      <a:pt x="125" y="62"/>
                    </a:lnTo>
                    <a:lnTo>
                      <a:pt x="125" y="62"/>
                    </a:lnTo>
                    <a:lnTo>
                      <a:pt x="125" y="62"/>
                    </a:lnTo>
                    <a:lnTo>
                      <a:pt x="125" y="62"/>
                    </a:lnTo>
                    <a:lnTo>
                      <a:pt x="125" y="62"/>
                    </a:lnTo>
                    <a:lnTo>
                      <a:pt x="125" y="62"/>
                    </a:lnTo>
                    <a:lnTo>
                      <a:pt x="134" y="62"/>
                    </a:lnTo>
                    <a:lnTo>
                      <a:pt x="134" y="62"/>
                    </a:lnTo>
                    <a:lnTo>
                      <a:pt x="134" y="62"/>
                    </a:lnTo>
                    <a:lnTo>
                      <a:pt x="143" y="62"/>
                    </a:lnTo>
                    <a:lnTo>
                      <a:pt x="143" y="62"/>
                    </a:lnTo>
                    <a:lnTo>
                      <a:pt x="143" y="62"/>
                    </a:lnTo>
                    <a:lnTo>
                      <a:pt x="152" y="62"/>
                    </a:lnTo>
                    <a:lnTo>
                      <a:pt x="152" y="62"/>
                    </a:lnTo>
                    <a:lnTo>
                      <a:pt x="152" y="62"/>
                    </a:lnTo>
                    <a:lnTo>
                      <a:pt x="152" y="62"/>
                    </a:lnTo>
                    <a:lnTo>
                      <a:pt x="152" y="62"/>
                    </a:lnTo>
                    <a:lnTo>
                      <a:pt x="152" y="71"/>
                    </a:lnTo>
                    <a:lnTo>
                      <a:pt x="152" y="71"/>
                    </a:lnTo>
                    <a:lnTo>
                      <a:pt x="152" y="71"/>
                    </a:lnTo>
                    <a:lnTo>
                      <a:pt x="152" y="71"/>
                    </a:lnTo>
                    <a:lnTo>
                      <a:pt x="152" y="71"/>
                    </a:lnTo>
                    <a:lnTo>
                      <a:pt x="152" y="80"/>
                    </a:lnTo>
                    <a:lnTo>
                      <a:pt x="152" y="80"/>
                    </a:lnTo>
                    <a:lnTo>
                      <a:pt x="152" y="80"/>
                    </a:lnTo>
                    <a:lnTo>
                      <a:pt x="152" y="80"/>
                    </a:lnTo>
                    <a:lnTo>
                      <a:pt x="161" y="89"/>
                    </a:lnTo>
                    <a:lnTo>
                      <a:pt x="161" y="89"/>
                    </a:lnTo>
                    <a:lnTo>
                      <a:pt x="161" y="98"/>
                    </a:lnTo>
                    <a:lnTo>
                      <a:pt x="161" y="98"/>
                    </a:lnTo>
                    <a:lnTo>
                      <a:pt x="152" y="98"/>
                    </a:lnTo>
                    <a:lnTo>
                      <a:pt x="152" y="107"/>
                    </a:lnTo>
                    <a:lnTo>
                      <a:pt x="152" y="107"/>
                    </a:lnTo>
                    <a:lnTo>
                      <a:pt x="152" y="116"/>
                    </a:lnTo>
                    <a:lnTo>
                      <a:pt x="152" y="116"/>
                    </a:lnTo>
                    <a:lnTo>
                      <a:pt x="152" y="125"/>
                    </a:lnTo>
                    <a:lnTo>
                      <a:pt x="152" y="125"/>
                    </a:lnTo>
                    <a:lnTo>
                      <a:pt x="152" y="125"/>
                    </a:lnTo>
                    <a:lnTo>
                      <a:pt x="152" y="134"/>
                    </a:lnTo>
                    <a:lnTo>
                      <a:pt x="152" y="134"/>
                    </a:lnTo>
                    <a:lnTo>
                      <a:pt x="152" y="134"/>
                    </a:lnTo>
                    <a:lnTo>
                      <a:pt x="152" y="134"/>
                    </a:lnTo>
                    <a:lnTo>
                      <a:pt x="152" y="134"/>
                    </a:lnTo>
                    <a:lnTo>
                      <a:pt x="152" y="134"/>
                    </a:lnTo>
                    <a:lnTo>
                      <a:pt x="143" y="134"/>
                    </a:lnTo>
                    <a:lnTo>
                      <a:pt x="143" y="134"/>
                    </a:lnTo>
                    <a:lnTo>
                      <a:pt x="143" y="143"/>
                    </a:lnTo>
                    <a:lnTo>
                      <a:pt x="143" y="143"/>
                    </a:lnTo>
                    <a:lnTo>
                      <a:pt x="143" y="143"/>
                    </a:lnTo>
                    <a:lnTo>
                      <a:pt x="134" y="143"/>
                    </a:lnTo>
                    <a:lnTo>
                      <a:pt x="134" y="143"/>
                    </a:lnTo>
                    <a:lnTo>
                      <a:pt x="134" y="143"/>
                    </a:lnTo>
                    <a:lnTo>
                      <a:pt x="125" y="143"/>
                    </a:lnTo>
                    <a:lnTo>
                      <a:pt x="125" y="143"/>
                    </a:lnTo>
                    <a:lnTo>
                      <a:pt x="125" y="143"/>
                    </a:lnTo>
                    <a:lnTo>
                      <a:pt x="125" y="143"/>
                    </a:lnTo>
                    <a:lnTo>
                      <a:pt x="125" y="143"/>
                    </a:lnTo>
                    <a:lnTo>
                      <a:pt x="125" y="143"/>
                    </a:lnTo>
                    <a:lnTo>
                      <a:pt x="125" y="143"/>
                    </a:lnTo>
                    <a:lnTo>
                      <a:pt x="125" y="151"/>
                    </a:lnTo>
                    <a:lnTo>
                      <a:pt x="125" y="151"/>
                    </a:lnTo>
                    <a:lnTo>
                      <a:pt x="125" y="151"/>
                    </a:lnTo>
                    <a:lnTo>
                      <a:pt x="125" y="151"/>
                    </a:lnTo>
                    <a:lnTo>
                      <a:pt x="125" y="151"/>
                    </a:lnTo>
                    <a:lnTo>
                      <a:pt x="116" y="160"/>
                    </a:lnTo>
                    <a:lnTo>
                      <a:pt x="116" y="160"/>
                    </a:lnTo>
                    <a:lnTo>
                      <a:pt x="116" y="160"/>
                    </a:lnTo>
                    <a:lnTo>
                      <a:pt x="116" y="160"/>
                    </a:lnTo>
                    <a:lnTo>
                      <a:pt x="116" y="160"/>
                    </a:lnTo>
                    <a:lnTo>
                      <a:pt x="116" y="160"/>
                    </a:lnTo>
                    <a:lnTo>
                      <a:pt x="116" y="169"/>
                    </a:lnTo>
                    <a:lnTo>
                      <a:pt x="107" y="169"/>
                    </a:lnTo>
                    <a:lnTo>
                      <a:pt x="107" y="169"/>
                    </a:lnTo>
                    <a:lnTo>
                      <a:pt x="107" y="169"/>
                    </a:lnTo>
                    <a:lnTo>
                      <a:pt x="107" y="169"/>
                    </a:lnTo>
                    <a:lnTo>
                      <a:pt x="98" y="169"/>
                    </a:lnTo>
                    <a:lnTo>
                      <a:pt x="98" y="169"/>
                    </a:lnTo>
                    <a:lnTo>
                      <a:pt x="98" y="160"/>
                    </a:lnTo>
                    <a:lnTo>
                      <a:pt x="90" y="160"/>
                    </a:lnTo>
                    <a:lnTo>
                      <a:pt x="90" y="160"/>
                    </a:lnTo>
                    <a:lnTo>
                      <a:pt x="90" y="160"/>
                    </a:lnTo>
                    <a:lnTo>
                      <a:pt x="81" y="160"/>
                    </a:lnTo>
                    <a:lnTo>
                      <a:pt x="81" y="160"/>
                    </a:lnTo>
                    <a:lnTo>
                      <a:pt x="72" y="151"/>
                    </a:lnTo>
                    <a:lnTo>
                      <a:pt x="72" y="151"/>
                    </a:lnTo>
                    <a:lnTo>
                      <a:pt x="72" y="151"/>
                    </a:lnTo>
                    <a:lnTo>
                      <a:pt x="72" y="151"/>
                    </a:lnTo>
                    <a:lnTo>
                      <a:pt x="63" y="151"/>
                    </a:lnTo>
                    <a:lnTo>
                      <a:pt x="63" y="143"/>
                    </a:lnTo>
                    <a:lnTo>
                      <a:pt x="63" y="143"/>
                    </a:lnTo>
                    <a:lnTo>
                      <a:pt x="63" y="143"/>
                    </a:lnTo>
                    <a:lnTo>
                      <a:pt x="63" y="143"/>
                    </a:lnTo>
                    <a:lnTo>
                      <a:pt x="63" y="143"/>
                    </a:lnTo>
                    <a:lnTo>
                      <a:pt x="54" y="143"/>
                    </a:lnTo>
                    <a:lnTo>
                      <a:pt x="54" y="134"/>
                    </a:lnTo>
                    <a:lnTo>
                      <a:pt x="54" y="134"/>
                    </a:lnTo>
                    <a:lnTo>
                      <a:pt x="54" y="134"/>
                    </a:lnTo>
                    <a:lnTo>
                      <a:pt x="54" y="134"/>
                    </a:lnTo>
                    <a:lnTo>
                      <a:pt x="45" y="125"/>
                    </a:lnTo>
                    <a:lnTo>
                      <a:pt x="45" y="125"/>
                    </a:lnTo>
                    <a:lnTo>
                      <a:pt x="45" y="125"/>
                    </a:lnTo>
                    <a:lnTo>
                      <a:pt x="45" y="125"/>
                    </a:lnTo>
                    <a:lnTo>
                      <a:pt x="36" y="116"/>
                    </a:lnTo>
                    <a:lnTo>
                      <a:pt x="36" y="116"/>
                    </a:lnTo>
                    <a:lnTo>
                      <a:pt x="36" y="116"/>
                    </a:lnTo>
                    <a:lnTo>
                      <a:pt x="36" y="116"/>
                    </a:lnTo>
                    <a:lnTo>
                      <a:pt x="36" y="107"/>
                    </a:lnTo>
                    <a:lnTo>
                      <a:pt x="27" y="107"/>
                    </a:lnTo>
                    <a:lnTo>
                      <a:pt x="27" y="107"/>
                    </a:lnTo>
                    <a:lnTo>
                      <a:pt x="27" y="107"/>
                    </a:lnTo>
                    <a:lnTo>
                      <a:pt x="27" y="98"/>
                    </a:lnTo>
                    <a:lnTo>
                      <a:pt x="27" y="98"/>
                    </a:lnTo>
                    <a:lnTo>
                      <a:pt x="27" y="98"/>
                    </a:lnTo>
                    <a:lnTo>
                      <a:pt x="27" y="98"/>
                    </a:lnTo>
                    <a:lnTo>
                      <a:pt x="18" y="89"/>
                    </a:lnTo>
                    <a:lnTo>
                      <a:pt x="18" y="89"/>
                    </a:lnTo>
                    <a:lnTo>
                      <a:pt x="18" y="89"/>
                    </a:lnTo>
                    <a:lnTo>
                      <a:pt x="18" y="80"/>
                    </a:lnTo>
                    <a:lnTo>
                      <a:pt x="18" y="80"/>
                    </a:lnTo>
                    <a:lnTo>
                      <a:pt x="18" y="80"/>
                    </a:lnTo>
                    <a:lnTo>
                      <a:pt x="9" y="71"/>
                    </a:lnTo>
                    <a:lnTo>
                      <a:pt x="9" y="71"/>
                    </a:lnTo>
                    <a:lnTo>
                      <a:pt x="9" y="62"/>
                    </a:lnTo>
                    <a:lnTo>
                      <a:pt x="9" y="62"/>
                    </a:lnTo>
                    <a:lnTo>
                      <a:pt x="9" y="62"/>
                    </a:lnTo>
                    <a:lnTo>
                      <a:pt x="0" y="53"/>
                    </a:lnTo>
                    <a:lnTo>
                      <a:pt x="0" y="53"/>
                    </a:lnTo>
                    <a:lnTo>
                      <a:pt x="0" y="44"/>
                    </a:lnTo>
                    <a:lnTo>
                      <a:pt x="0" y="44"/>
                    </a:lnTo>
                    <a:lnTo>
                      <a:pt x="0" y="35"/>
                    </a:lnTo>
                    <a:lnTo>
                      <a:pt x="0" y="35"/>
                    </a:lnTo>
                    <a:lnTo>
                      <a:pt x="0" y="26"/>
                    </a:lnTo>
                    <a:lnTo>
                      <a:pt x="0" y="26"/>
                    </a:lnTo>
                    <a:lnTo>
                      <a:pt x="0" y="18"/>
                    </a:lnTo>
                    <a:lnTo>
                      <a:pt x="0" y="18"/>
                    </a:lnTo>
                    <a:lnTo>
                      <a:pt x="0" y="18"/>
                    </a:lnTo>
                    <a:lnTo>
                      <a:pt x="0" y="18"/>
                    </a:lnTo>
                    <a:lnTo>
                      <a:pt x="0" y="9"/>
                    </a:lnTo>
                    <a:lnTo>
                      <a:pt x="0" y="9"/>
                    </a:lnTo>
                    <a:lnTo>
                      <a:pt x="0" y="9"/>
                    </a:lnTo>
                    <a:lnTo>
                      <a:pt x="0" y="9"/>
                    </a:lnTo>
                    <a:lnTo>
                      <a:pt x="0" y="9"/>
                    </a:lnTo>
                  </a:path>
                </a:pathLst>
              </a:custGeom>
              <a:solidFill>
                <a:schemeClr val="tx2">
                  <a:lumMod val="60000"/>
                  <a:lumOff val="40000"/>
                </a:schemeClr>
              </a:solidFill>
              <a:ln w="15875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61" name="Freeform 68">
                <a:extLst>
                  <a:ext uri="{FF2B5EF4-FFF2-40B4-BE49-F238E27FC236}">
                    <a16:creationId xmlns:a16="http://schemas.microsoft.com/office/drawing/2014/main" id="{3C9AAD28-0CE7-40E8-B163-1167BB98ECD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4118" y="8310"/>
                <a:ext cx="1606" cy="953"/>
              </a:xfrm>
              <a:custGeom>
                <a:avLst/>
                <a:gdLst>
                  <a:gd name="T0" fmla="*/ 653 w 724"/>
                  <a:gd name="T1" fmla="*/ 233 h 402"/>
                  <a:gd name="T2" fmla="*/ 572 w 724"/>
                  <a:gd name="T3" fmla="*/ 143 h 402"/>
                  <a:gd name="T4" fmla="*/ 590 w 724"/>
                  <a:gd name="T5" fmla="*/ 81 h 402"/>
                  <a:gd name="T6" fmla="*/ 617 w 724"/>
                  <a:gd name="T7" fmla="*/ 63 h 402"/>
                  <a:gd name="T8" fmla="*/ 554 w 724"/>
                  <a:gd name="T9" fmla="*/ 45 h 402"/>
                  <a:gd name="T10" fmla="*/ 492 w 724"/>
                  <a:gd name="T11" fmla="*/ 36 h 402"/>
                  <a:gd name="T12" fmla="*/ 429 w 724"/>
                  <a:gd name="T13" fmla="*/ 18 h 402"/>
                  <a:gd name="T14" fmla="*/ 393 w 724"/>
                  <a:gd name="T15" fmla="*/ 18 h 402"/>
                  <a:gd name="T16" fmla="*/ 349 w 724"/>
                  <a:gd name="T17" fmla="*/ 27 h 402"/>
                  <a:gd name="T18" fmla="*/ 304 w 724"/>
                  <a:gd name="T19" fmla="*/ 54 h 402"/>
                  <a:gd name="T20" fmla="*/ 286 w 724"/>
                  <a:gd name="T21" fmla="*/ 99 h 402"/>
                  <a:gd name="T22" fmla="*/ 224 w 724"/>
                  <a:gd name="T23" fmla="*/ 125 h 402"/>
                  <a:gd name="T24" fmla="*/ 161 w 724"/>
                  <a:gd name="T25" fmla="*/ 143 h 402"/>
                  <a:gd name="T26" fmla="*/ 72 w 724"/>
                  <a:gd name="T27" fmla="*/ 179 h 402"/>
                  <a:gd name="T28" fmla="*/ 27 w 724"/>
                  <a:gd name="T29" fmla="*/ 197 h 402"/>
                  <a:gd name="T30" fmla="*/ 0 w 724"/>
                  <a:gd name="T31" fmla="*/ 277 h 402"/>
                  <a:gd name="T32" fmla="*/ 9 w 724"/>
                  <a:gd name="T33" fmla="*/ 277 h 402"/>
                  <a:gd name="T34" fmla="*/ 18 w 724"/>
                  <a:gd name="T35" fmla="*/ 277 h 402"/>
                  <a:gd name="T36" fmla="*/ 27 w 724"/>
                  <a:gd name="T37" fmla="*/ 277 h 402"/>
                  <a:gd name="T38" fmla="*/ 36 w 724"/>
                  <a:gd name="T39" fmla="*/ 277 h 402"/>
                  <a:gd name="T40" fmla="*/ 45 w 724"/>
                  <a:gd name="T41" fmla="*/ 286 h 402"/>
                  <a:gd name="T42" fmla="*/ 54 w 724"/>
                  <a:gd name="T43" fmla="*/ 286 h 402"/>
                  <a:gd name="T44" fmla="*/ 54 w 724"/>
                  <a:gd name="T45" fmla="*/ 286 h 402"/>
                  <a:gd name="T46" fmla="*/ 63 w 724"/>
                  <a:gd name="T47" fmla="*/ 295 h 402"/>
                  <a:gd name="T48" fmla="*/ 72 w 724"/>
                  <a:gd name="T49" fmla="*/ 295 h 402"/>
                  <a:gd name="T50" fmla="*/ 72 w 724"/>
                  <a:gd name="T51" fmla="*/ 295 h 402"/>
                  <a:gd name="T52" fmla="*/ 81 w 724"/>
                  <a:gd name="T53" fmla="*/ 295 h 402"/>
                  <a:gd name="T54" fmla="*/ 90 w 724"/>
                  <a:gd name="T55" fmla="*/ 295 h 402"/>
                  <a:gd name="T56" fmla="*/ 90 w 724"/>
                  <a:gd name="T57" fmla="*/ 313 h 402"/>
                  <a:gd name="T58" fmla="*/ 90 w 724"/>
                  <a:gd name="T59" fmla="*/ 322 h 402"/>
                  <a:gd name="T60" fmla="*/ 90 w 724"/>
                  <a:gd name="T61" fmla="*/ 340 h 402"/>
                  <a:gd name="T62" fmla="*/ 99 w 724"/>
                  <a:gd name="T63" fmla="*/ 349 h 402"/>
                  <a:gd name="T64" fmla="*/ 99 w 724"/>
                  <a:gd name="T65" fmla="*/ 358 h 402"/>
                  <a:gd name="T66" fmla="*/ 99 w 724"/>
                  <a:gd name="T67" fmla="*/ 367 h 402"/>
                  <a:gd name="T68" fmla="*/ 108 w 724"/>
                  <a:gd name="T69" fmla="*/ 375 h 402"/>
                  <a:gd name="T70" fmla="*/ 126 w 724"/>
                  <a:gd name="T71" fmla="*/ 375 h 402"/>
                  <a:gd name="T72" fmla="*/ 134 w 724"/>
                  <a:gd name="T73" fmla="*/ 375 h 402"/>
                  <a:gd name="T74" fmla="*/ 152 w 724"/>
                  <a:gd name="T75" fmla="*/ 375 h 402"/>
                  <a:gd name="T76" fmla="*/ 161 w 724"/>
                  <a:gd name="T77" fmla="*/ 375 h 402"/>
                  <a:gd name="T78" fmla="*/ 179 w 724"/>
                  <a:gd name="T79" fmla="*/ 367 h 402"/>
                  <a:gd name="T80" fmla="*/ 188 w 724"/>
                  <a:gd name="T81" fmla="*/ 367 h 402"/>
                  <a:gd name="T82" fmla="*/ 206 w 724"/>
                  <a:gd name="T83" fmla="*/ 367 h 402"/>
                  <a:gd name="T84" fmla="*/ 206 w 724"/>
                  <a:gd name="T85" fmla="*/ 358 h 402"/>
                  <a:gd name="T86" fmla="*/ 215 w 724"/>
                  <a:gd name="T87" fmla="*/ 349 h 402"/>
                  <a:gd name="T88" fmla="*/ 206 w 724"/>
                  <a:gd name="T89" fmla="*/ 340 h 402"/>
                  <a:gd name="T90" fmla="*/ 206 w 724"/>
                  <a:gd name="T91" fmla="*/ 340 h 402"/>
                  <a:gd name="T92" fmla="*/ 233 w 724"/>
                  <a:gd name="T93" fmla="*/ 304 h 402"/>
                  <a:gd name="T94" fmla="*/ 277 w 724"/>
                  <a:gd name="T95" fmla="*/ 295 h 402"/>
                  <a:gd name="T96" fmla="*/ 322 w 724"/>
                  <a:gd name="T97" fmla="*/ 340 h 402"/>
                  <a:gd name="T98" fmla="*/ 385 w 724"/>
                  <a:gd name="T99" fmla="*/ 349 h 402"/>
                  <a:gd name="T100" fmla="*/ 429 w 724"/>
                  <a:gd name="T101" fmla="*/ 384 h 402"/>
                  <a:gd name="T102" fmla="*/ 429 w 724"/>
                  <a:gd name="T103" fmla="*/ 384 h 402"/>
                  <a:gd name="T104" fmla="*/ 429 w 724"/>
                  <a:gd name="T105" fmla="*/ 375 h 402"/>
                  <a:gd name="T106" fmla="*/ 438 w 724"/>
                  <a:gd name="T107" fmla="*/ 375 h 402"/>
                  <a:gd name="T108" fmla="*/ 438 w 724"/>
                  <a:gd name="T109" fmla="*/ 367 h 402"/>
                  <a:gd name="T110" fmla="*/ 519 w 724"/>
                  <a:gd name="T111" fmla="*/ 375 h 402"/>
                  <a:gd name="T112" fmla="*/ 563 w 724"/>
                  <a:gd name="T113" fmla="*/ 393 h 402"/>
                  <a:gd name="T114" fmla="*/ 617 w 724"/>
                  <a:gd name="T115" fmla="*/ 349 h 402"/>
                  <a:gd name="T116" fmla="*/ 661 w 724"/>
                  <a:gd name="T117" fmla="*/ 331 h 402"/>
                  <a:gd name="T118" fmla="*/ 706 w 724"/>
                  <a:gd name="T119" fmla="*/ 322 h 402"/>
                  <a:gd name="T120" fmla="*/ 724 w 724"/>
                  <a:gd name="T121" fmla="*/ 286 h 40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</a:cxnLst>
                <a:rect l="0" t="0" r="r" b="b"/>
                <a:pathLst>
                  <a:path w="724" h="402">
                    <a:moveTo>
                      <a:pt x="724" y="286"/>
                    </a:moveTo>
                    <a:lnTo>
                      <a:pt x="706" y="259"/>
                    </a:lnTo>
                    <a:lnTo>
                      <a:pt x="679" y="242"/>
                    </a:lnTo>
                    <a:lnTo>
                      <a:pt x="653" y="233"/>
                    </a:lnTo>
                    <a:lnTo>
                      <a:pt x="635" y="224"/>
                    </a:lnTo>
                    <a:lnTo>
                      <a:pt x="608" y="188"/>
                    </a:lnTo>
                    <a:lnTo>
                      <a:pt x="599" y="161"/>
                    </a:lnTo>
                    <a:lnTo>
                      <a:pt x="572" y="143"/>
                    </a:lnTo>
                    <a:lnTo>
                      <a:pt x="572" y="125"/>
                    </a:lnTo>
                    <a:lnTo>
                      <a:pt x="581" y="108"/>
                    </a:lnTo>
                    <a:lnTo>
                      <a:pt x="581" y="90"/>
                    </a:lnTo>
                    <a:lnTo>
                      <a:pt x="590" y="81"/>
                    </a:lnTo>
                    <a:lnTo>
                      <a:pt x="599" y="81"/>
                    </a:lnTo>
                    <a:lnTo>
                      <a:pt x="608" y="81"/>
                    </a:lnTo>
                    <a:lnTo>
                      <a:pt x="617" y="81"/>
                    </a:lnTo>
                    <a:lnTo>
                      <a:pt x="617" y="63"/>
                    </a:lnTo>
                    <a:lnTo>
                      <a:pt x="608" y="63"/>
                    </a:lnTo>
                    <a:lnTo>
                      <a:pt x="590" y="54"/>
                    </a:lnTo>
                    <a:lnTo>
                      <a:pt x="572" y="45"/>
                    </a:lnTo>
                    <a:lnTo>
                      <a:pt x="554" y="45"/>
                    </a:lnTo>
                    <a:lnTo>
                      <a:pt x="527" y="45"/>
                    </a:lnTo>
                    <a:lnTo>
                      <a:pt x="510" y="45"/>
                    </a:lnTo>
                    <a:lnTo>
                      <a:pt x="501" y="45"/>
                    </a:lnTo>
                    <a:lnTo>
                      <a:pt x="492" y="36"/>
                    </a:lnTo>
                    <a:lnTo>
                      <a:pt x="492" y="27"/>
                    </a:lnTo>
                    <a:lnTo>
                      <a:pt x="474" y="27"/>
                    </a:lnTo>
                    <a:lnTo>
                      <a:pt x="456" y="18"/>
                    </a:lnTo>
                    <a:lnTo>
                      <a:pt x="429" y="18"/>
                    </a:lnTo>
                    <a:lnTo>
                      <a:pt x="411" y="18"/>
                    </a:lnTo>
                    <a:lnTo>
                      <a:pt x="402" y="18"/>
                    </a:lnTo>
                    <a:lnTo>
                      <a:pt x="402" y="0"/>
                    </a:lnTo>
                    <a:lnTo>
                      <a:pt x="393" y="18"/>
                    </a:lnTo>
                    <a:lnTo>
                      <a:pt x="385" y="27"/>
                    </a:lnTo>
                    <a:lnTo>
                      <a:pt x="385" y="27"/>
                    </a:lnTo>
                    <a:lnTo>
                      <a:pt x="367" y="27"/>
                    </a:lnTo>
                    <a:lnTo>
                      <a:pt x="349" y="27"/>
                    </a:lnTo>
                    <a:lnTo>
                      <a:pt x="340" y="27"/>
                    </a:lnTo>
                    <a:lnTo>
                      <a:pt x="322" y="36"/>
                    </a:lnTo>
                    <a:lnTo>
                      <a:pt x="304" y="45"/>
                    </a:lnTo>
                    <a:lnTo>
                      <a:pt x="304" y="54"/>
                    </a:lnTo>
                    <a:lnTo>
                      <a:pt x="304" y="63"/>
                    </a:lnTo>
                    <a:lnTo>
                      <a:pt x="286" y="63"/>
                    </a:lnTo>
                    <a:lnTo>
                      <a:pt x="286" y="81"/>
                    </a:lnTo>
                    <a:lnTo>
                      <a:pt x="286" y="99"/>
                    </a:lnTo>
                    <a:lnTo>
                      <a:pt x="277" y="108"/>
                    </a:lnTo>
                    <a:lnTo>
                      <a:pt x="277" y="125"/>
                    </a:lnTo>
                    <a:lnTo>
                      <a:pt x="251" y="125"/>
                    </a:lnTo>
                    <a:lnTo>
                      <a:pt x="224" y="125"/>
                    </a:lnTo>
                    <a:lnTo>
                      <a:pt x="197" y="125"/>
                    </a:lnTo>
                    <a:lnTo>
                      <a:pt x="179" y="125"/>
                    </a:lnTo>
                    <a:lnTo>
                      <a:pt x="170" y="134"/>
                    </a:lnTo>
                    <a:lnTo>
                      <a:pt x="161" y="143"/>
                    </a:lnTo>
                    <a:lnTo>
                      <a:pt x="134" y="161"/>
                    </a:lnTo>
                    <a:lnTo>
                      <a:pt x="117" y="170"/>
                    </a:lnTo>
                    <a:lnTo>
                      <a:pt x="99" y="179"/>
                    </a:lnTo>
                    <a:lnTo>
                      <a:pt x="72" y="179"/>
                    </a:lnTo>
                    <a:lnTo>
                      <a:pt x="63" y="170"/>
                    </a:lnTo>
                    <a:lnTo>
                      <a:pt x="54" y="179"/>
                    </a:lnTo>
                    <a:lnTo>
                      <a:pt x="36" y="188"/>
                    </a:lnTo>
                    <a:lnTo>
                      <a:pt x="27" y="197"/>
                    </a:lnTo>
                    <a:lnTo>
                      <a:pt x="9" y="224"/>
                    </a:lnTo>
                    <a:lnTo>
                      <a:pt x="0" y="233"/>
                    </a:lnTo>
                    <a:lnTo>
                      <a:pt x="0" y="259"/>
                    </a:lnTo>
                    <a:lnTo>
                      <a:pt x="0" y="277"/>
                    </a:lnTo>
                    <a:lnTo>
                      <a:pt x="0" y="277"/>
                    </a:lnTo>
                    <a:lnTo>
                      <a:pt x="9" y="277"/>
                    </a:lnTo>
                    <a:lnTo>
                      <a:pt x="9" y="277"/>
                    </a:lnTo>
                    <a:lnTo>
                      <a:pt x="9" y="277"/>
                    </a:lnTo>
                    <a:lnTo>
                      <a:pt x="9" y="277"/>
                    </a:lnTo>
                    <a:lnTo>
                      <a:pt x="18" y="277"/>
                    </a:lnTo>
                    <a:lnTo>
                      <a:pt x="18" y="277"/>
                    </a:lnTo>
                    <a:lnTo>
                      <a:pt x="18" y="277"/>
                    </a:lnTo>
                    <a:lnTo>
                      <a:pt x="18" y="277"/>
                    </a:lnTo>
                    <a:lnTo>
                      <a:pt x="18" y="277"/>
                    </a:lnTo>
                    <a:lnTo>
                      <a:pt x="27" y="277"/>
                    </a:lnTo>
                    <a:lnTo>
                      <a:pt x="27" y="277"/>
                    </a:lnTo>
                    <a:lnTo>
                      <a:pt x="27" y="277"/>
                    </a:lnTo>
                    <a:lnTo>
                      <a:pt x="27" y="277"/>
                    </a:lnTo>
                    <a:lnTo>
                      <a:pt x="36" y="277"/>
                    </a:lnTo>
                    <a:lnTo>
                      <a:pt x="36" y="277"/>
                    </a:lnTo>
                    <a:lnTo>
                      <a:pt x="36" y="277"/>
                    </a:lnTo>
                    <a:lnTo>
                      <a:pt x="36" y="277"/>
                    </a:lnTo>
                    <a:lnTo>
                      <a:pt x="45" y="277"/>
                    </a:lnTo>
                    <a:lnTo>
                      <a:pt x="45" y="286"/>
                    </a:lnTo>
                    <a:lnTo>
                      <a:pt x="45" y="286"/>
                    </a:lnTo>
                    <a:lnTo>
                      <a:pt x="45" y="286"/>
                    </a:lnTo>
                    <a:lnTo>
                      <a:pt x="54" y="286"/>
                    </a:lnTo>
                    <a:lnTo>
                      <a:pt x="54" y="286"/>
                    </a:lnTo>
                    <a:lnTo>
                      <a:pt x="54" y="286"/>
                    </a:lnTo>
                    <a:lnTo>
                      <a:pt x="54" y="286"/>
                    </a:lnTo>
                    <a:lnTo>
                      <a:pt x="54" y="286"/>
                    </a:lnTo>
                    <a:lnTo>
                      <a:pt x="54" y="286"/>
                    </a:lnTo>
                    <a:lnTo>
                      <a:pt x="63" y="295"/>
                    </a:lnTo>
                    <a:lnTo>
                      <a:pt x="63" y="295"/>
                    </a:lnTo>
                    <a:lnTo>
                      <a:pt x="63" y="295"/>
                    </a:lnTo>
                    <a:lnTo>
                      <a:pt x="63" y="295"/>
                    </a:lnTo>
                    <a:lnTo>
                      <a:pt x="63" y="295"/>
                    </a:lnTo>
                    <a:lnTo>
                      <a:pt x="63" y="295"/>
                    </a:lnTo>
                    <a:lnTo>
                      <a:pt x="72" y="295"/>
                    </a:lnTo>
                    <a:lnTo>
                      <a:pt x="72" y="295"/>
                    </a:lnTo>
                    <a:lnTo>
                      <a:pt x="72" y="295"/>
                    </a:lnTo>
                    <a:lnTo>
                      <a:pt x="72" y="295"/>
                    </a:lnTo>
                    <a:lnTo>
                      <a:pt x="72" y="295"/>
                    </a:lnTo>
                    <a:lnTo>
                      <a:pt x="72" y="295"/>
                    </a:lnTo>
                    <a:lnTo>
                      <a:pt x="72" y="295"/>
                    </a:lnTo>
                    <a:lnTo>
                      <a:pt x="81" y="295"/>
                    </a:lnTo>
                    <a:lnTo>
                      <a:pt x="81" y="295"/>
                    </a:lnTo>
                    <a:lnTo>
                      <a:pt x="81" y="295"/>
                    </a:lnTo>
                    <a:lnTo>
                      <a:pt x="81" y="295"/>
                    </a:lnTo>
                    <a:lnTo>
                      <a:pt x="81" y="295"/>
                    </a:lnTo>
                    <a:lnTo>
                      <a:pt x="81" y="295"/>
                    </a:lnTo>
                    <a:lnTo>
                      <a:pt x="90" y="295"/>
                    </a:lnTo>
                    <a:lnTo>
                      <a:pt x="90" y="304"/>
                    </a:lnTo>
                    <a:lnTo>
                      <a:pt x="90" y="304"/>
                    </a:lnTo>
                    <a:lnTo>
                      <a:pt x="90" y="304"/>
                    </a:lnTo>
                    <a:lnTo>
                      <a:pt x="90" y="313"/>
                    </a:lnTo>
                    <a:lnTo>
                      <a:pt x="90" y="313"/>
                    </a:lnTo>
                    <a:lnTo>
                      <a:pt x="90" y="322"/>
                    </a:lnTo>
                    <a:lnTo>
                      <a:pt x="90" y="322"/>
                    </a:lnTo>
                    <a:lnTo>
                      <a:pt x="90" y="322"/>
                    </a:lnTo>
                    <a:lnTo>
                      <a:pt x="90" y="331"/>
                    </a:lnTo>
                    <a:lnTo>
                      <a:pt x="90" y="331"/>
                    </a:lnTo>
                    <a:lnTo>
                      <a:pt x="90" y="331"/>
                    </a:lnTo>
                    <a:lnTo>
                      <a:pt x="90" y="340"/>
                    </a:lnTo>
                    <a:lnTo>
                      <a:pt x="90" y="340"/>
                    </a:lnTo>
                    <a:lnTo>
                      <a:pt x="90" y="340"/>
                    </a:lnTo>
                    <a:lnTo>
                      <a:pt x="90" y="340"/>
                    </a:lnTo>
                    <a:lnTo>
                      <a:pt x="99" y="349"/>
                    </a:lnTo>
                    <a:lnTo>
                      <a:pt x="99" y="349"/>
                    </a:lnTo>
                    <a:lnTo>
                      <a:pt x="99" y="349"/>
                    </a:lnTo>
                    <a:lnTo>
                      <a:pt x="99" y="358"/>
                    </a:lnTo>
                    <a:lnTo>
                      <a:pt x="99" y="358"/>
                    </a:lnTo>
                    <a:lnTo>
                      <a:pt x="99" y="358"/>
                    </a:lnTo>
                    <a:lnTo>
                      <a:pt x="99" y="367"/>
                    </a:lnTo>
                    <a:lnTo>
                      <a:pt x="99" y="367"/>
                    </a:lnTo>
                    <a:lnTo>
                      <a:pt x="99" y="367"/>
                    </a:lnTo>
                    <a:lnTo>
                      <a:pt x="108" y="367"/>
                    </a:lnTo>
                    <a:lnTo>
                      <a:pt x="108" y="367"/>
                    </a:lnTo>
                    <a:lnTo>
                      <a:pt x="108" y="375"/>
                    </a:lnTo>
                    <a:lnTo>
                      <a:pt x="108" y="375"/>
                    </a:lnTo>
                    <a:lnTo>
                      <a:pt x="117" y="375"/>
                    </a:lnTo>
                    <a:lnTo>
                      <a:pt x="117" y="375"/>
                    </a:lnTo>
                    <a:lnTo>
                      <a:pt x="117" y="375"/>
                    </a:lnTo>
                    <a:lnTo>
                      <a:pt x="126" y="375"/>
                    </a:lnTo>
                    <a:lnTo>
                      <a:pt x="126" y="375"/>
                    </a:lnTo>
                    <a:lnTo>
                      <a:pt x="134" y="375"/>
                    </a:lnTo>
                    <a:lnTo>
                      <a:pt x="134" y="375"/>
                    </a:lnTo>
                    <a:lnTo>
                      <a:pt x="134" y="375"/>
                    </a:lnTo>
                    <a:lnTo>
                      <a:pt x="143" y="375"/>
                    </a:lnTo>
                    <a:lnTo>
                      <a:pt x="143" y="375"/>
                    </a:lnTo>
                    <a:lnTo>
                      <a:pt x="152" y="375"/>
                    </a:lnTo>
                    <a:lnTo>
                      <a:pt x="152" y="375"/>
                    </a:lnTo>
                    <a:lnTo>
                      <a:pt x="161" y="375"/>
                    </a:lnTo>
                    <a:lnTo>
                      <a:pt x="161" y="375"/>
                    </a:lnTo>
                    <a:lnTo>
                      <a:pt x="161" y="375"/>
                    </a:lnTo>
                    <a:lnTo>
                      <a:pt x="161" y="375"/>
                    </a:lnTo>
                    <a:lnTo>
                      <a:pt x="170" y="375"/>
                    </a:lnTo>
                    <a:lnTo>
                      <a:pt x="170" y="375"/>
                    </a:lnTo>
                    <a:lnTo>
                      <a:pt x="170" y="375"/>
                    </a:lnTo>
                    <a:lnTo>
                      <a:pt x="179" y="367"/>
                    </a:lnTo>
                    <a:lnTo>
                      <a:pt x="179" y="367"/>
                    </a:lnTo>
                    <a:lnTo>
                      <a:pt x="179" y="367"/>
                    </a:lnTo>
                    <a:lnTo>
                      <a:pt x="188" y="367"/>
                    </a:lnTo>
                    <a:lnTo>
                      <a:pt x="188" y="367"/>
                    </a:lnTo>
                    <a:lnTo>
                      <a:pt x="188" y="367"/>
                    </a:lnTo>
                    <a:lnTo>
                      <a:pt x="197" y="367"/>
                    </a:lnTo>
                    <a:lnTo>
                      <a:pt x="197" y="367"/>
                    </a:lnTo>
                    <a:lnTo>
                      <a:pt x="206" y="367"/>
                    </a:lnTo>
                    <a:lnTo>
                      <a:pt x="206" y="358"/>
                    </a:lnTo>
                    <a:lnTo>
                      <a:pt x="206" y="358"/>
                    </a:lnTo>
                    <a:lnTo>
                      <a:pt x="206" y="358"/>
                    </a:lnTo>
                    <a:lnTo>
                      <a:pt x="206" y="358"/>
                    </a:lnTo>
                    <a:lnTo>
                      <a:pt x="206" y="358"/>
                    </a:lnTo>
                    <a:lnTo>
                      <a:pt x="206" y="358"/>
                    </a:lnTo>
                    <a:lnTo>
                      <a:pt x="206" y="349"/>
                    </a:lnTo>
                    <a:lnTo>
                      <a:pt x="215" y="349"/>
                    </a:lnTo>
                    <a:lnTo>
                      <a:pt x="206" y="349"/>
                    </a:lnTo>
                    <a:lnTo>
                      <a:pt x="206" y="349"/>
                    </a:lnTo>
                    <a:lnTo>
                      <a:pt x="206" y="340"/>
                    </a:lnTo>
                    <a:lnTo>
                      <a:pt x="206" y="340"/>
                    </a:lnTo>
                    <a:lnTo>
                      <a:pt x="206" y="340"/>
                    </a:lnTo>
                    <a:lnTo>
                      <a:pt x="206" y="340"/>
                    </a:lnTo>
                    <a:lnTo>
                      <a:pt x="206" y="340"/>
                    </a:lnTo>
                    <a:lnTo>
                      <a:pt x="206" y="340"/>
                    </a:lnTo>
                    <a:lnTo>
                      <a:pt x="206" y="322"/>
                    </a:lnTo>
                    <a:lnTo>
                      <a:pt x="197" y="304"/>
                    </a:lnTo>
                    <a:lnTo>
                      <a:pt x="215" y="304"/>
                    </a:lnTo>
                    <a:lnTo>
                      <a:pt x="233" y="304"/>
                    </a:lnTo>
                    <a:lnTo>
                      <a:pt x="233" y="286"/>
                    </a:lnTo>
                    <a:lnTo>
                      <a:pt x="242" y="286"/>
                    </a:lnTo>
                    <a:lnTo>
                      <a:pt x="260" y="286"/>
                    </a:lnTo>
                    <a:lnTo>
                      <a:pt x="277" y="295"/>
                    </a:lnTo>
                    <a:lnTo>
                      <a:pt x="286" y="304"/>
                    </a:lnTo>
                    <a:lnTo>
                      <a:pt x="286" y="322"/>
                    </a:lnTo>
                    <a:lnTo>
                      <a:pt x="304" y="322"/>
                    </a:lnTo>
                    <a:lnTo>
                      <a:pt x="322" y="340"/>
                    </a:lnTo>
                    <a:lnTo>
                      <a:pt x="340" y="349"/>
                    </a:lnTo>
                    <a:lnTo>
                      <a:pt x="340" y="358"/>
                    </a:lnTo>
                    <a:lnTo>
                      <a:pt x="367" y="358"/>
                    </a:lnTo>
                    <a:lnTo>
                      <a:pt x="385" y="349"/>
                    </a:lnTo>
                    <a:lnTo>
                      <a:pt x="393" y="358"/>
                    </a:lnTo>
                    <a:lnTo>
                      <a:pt x="402" y="375"/>
                    </a:lnTo>
                    <a:lnTo>
                      <a:pt x="411" y="384"/>
                    </a:lnTo>
                    <a:lnTo>
                      <a:pt x="429" y="384"/>
                    </a:lnTo>
                    <a:lnTo>
                      <a:pt x="429" y="384"/>
                    </a:lnTo>
                    <a:lnTo>
                      <a:pt x="429" y="384"/>
                    </a:lnTo>
                    <a:lnTo>
                      <a:pt x="429" y="384"/>
                    </a:lnTo>
                    <a:lnTo>
                      <a:pt x="429" y="384"/>
                    </a:lnTo>
                    <a:lnTo>
                      <a:pt x="429" y="384"/>
                    </a:lnTo>
                    <a:lnTo>
                      <a:pt x="429" y="375"/>
                    </a:lnTo>
                    <a:lnTo>
                      <a:pt x="429" y="375"/>
                    </a:lnTo>
                    <a:lnTo>
                      <a:pt x="429" y="375"/>
                    </a:lnTo>
                    <a:lnTo>
                      <a:pt x="429" y="375"/>
                    </a:lnTo>
                    <a:lnTo>
                      <a:pt x="438" y="375"/>
                    </a:lnTo>
                    <a:lnTo>
                      <a:pt x="438" y="375"/>
                    </a:lnTo>
                    <a:lnTo>
                      <a:pt x="438" y="375"/>
                    </a:lnTo>
                    <a:lnTo>
                      <a:pt x="438" y="367"/>
                    </a:lnTo>
                    <a:lnTo>
                      <a:pt x="438" y="367"/>
                    </a:lnTo>
                    <a:lnTo>
                      <a:pt x="438" y="367"/>
                    </a:lnTo>
                    <a:lnTo>
                      <a:pt x="438" y="367"/>
                    </a:lnTo>
                    <a:lnTo>
                      <a:pt x="465" y="367"/>
                    </a:lnTo>
                    <a:lnTo>
                      <a:pt x="492" y="367"/>
                    </a:lnTo>
                    <a:lnTo>
                      <a:pt x="501" y="367"/>
                    </a:lnTo>
                    <a:lnTo>
                      <a:pt x="519" y="375"/>
                    </a:lnTo>
                    <a:lnTo>
                      <a:pt x="519" y="384"/>
                    </a:lnTo>
                    <a:lnTo>
                      <a:pt x="545" y="402"/>
                    </a:lnTo>
                    <a:lnTo>
                      <a:pt x="554" y="393"/>
                    </a:lnTo>
                    <a:lnTo>
                      <a:pt x="563" y="393"/>
                    </a:lnTo>
                    <a:lnTo>
                      <a:pt x="581" y="384"/>
                    </a:lnTo>
                    <a:lnTo>
                      <a:pt x="590" y="375"/>
                    </a:lnTo>
                    <a:lnTo>
                      <a:pt x="608" y="367"/>
                    </a:lnTo>
                    <a:lnTo>
                      <a:pt x="617" y="349"/>
                    </a:lnTo>
                    <a:lnTo>
                      <a:pt x="617" y="331"/>
                    </a:lnTo>
                    <a:lnTo>
                      <a:pt x="626" y="322"/>
                    </a:lnTo>
                    <a:lnTo>
                      <a:pt x="644" y="322"/>
                    </a:lnTo>
                    <a:lnTo>
                      <a:pt x="661" y="331"/>
                    </a:lnTo>
                    <a:lnTo>
                      <a:pt x="679" y="331"/>
                    </a:lnTo>
                    <a:lnTo>
                      <a:pt x="697" y="331"/>
                    </a:lnTo>
                    <a:lnTo>
                      <a:pt x="706" y="331"/>
                    </a:lnTo>
                    <a:lnTo>
                      <a:pt x="706" y="322"/>
                    </a:lnTo>
                    <a:lnTo>
                      <a:pt x="706" y="313"/>
                    </a:lnTo>
                    <a:lnTo>
                      <a:pt x="706" y="295"/>
                    </a:lnTo>
                    <a:lnTo>
                      <a:pt x="715" y="295"/>
                    </a:lnTo>
                    <a:lnTo>
                      <a:pt x="724" y="286"/>
                    </a:lnTo>
                  </a:path>
                </a:pathLst>
              </a:custGeom>
              <a:solidFill>
                <a:schemeClr val="tx2">
                  <a:lumMod val="60000"/>
                  <a:lumOff val="40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62" name="Freeform 69">
                <a:extLst>
                  <a:ext uri="{FF2B5EF4-FFF2-40B4-BE49-F238E27FC236}">
                    <a16:creationId xmlns:a16="http://schemas.microsoft.com/office/drawing/2014/main" id="{A3D31DD5-3603-4BF9-9388-41E7F5F4E77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211" y="8993"/>
                <a:ext cx="1387" cy="1017"/>
              </a:xfrm>
              <a:custGeom>
                <a:avLst/>
                <a:gdLst>
                  <a:gd name="T0" fmla="*/ 232 w 625"/>
                  <a:gd name="T1" fmla="*/ 18 h 429"/>
                  <a:gd name="T2" fmla="*/ 268 w 625"/>
                  <a:gd name="T3" fmla="*/ 27 h 429"/>
                  <a:gd name="T4" fmla="*/ 294 w 625"/>
                  <a:gd name="T5" fmla="*/ 9 h 429"/>
                  <a:gd name="T6" fmla="*/ 330 w 625"/>
                  <a:gd name="T7" fmla="*/ 9 h 429"/>
                  <a:gd name="T8" fmla="*/ 330 w 625"/>
                  <a:gd name="T9" fmla="*/ 36 h 429"/>
                  <a:gd name="T10" fmla="*/ 357 w 625"/>
                  <a:gd name="T11" fmla="*/ 45 h 429"/>
                  <a:gd name="T12" fmla="*/ 366 w 625"/>
                  <a:gd name="T13" fmla="*/ 72 h 429"/>
                  <a:gd name="T14" fmla="*/ 393 w 625"/>
                  <a:gd name="T15" fmla="*/ 98 h 429"/>
                  <a:gd name="T16" fmla="*/ 437 w 625"/>
                  <a:gd name="T17" fmla="*/ 89 h 429"/>
                  <a:gd name="T18" fmla="*/ 464 w 625"/>
                  <a:gd name="T19" fmla="*/ 89 h 429"/>
                  <a:gd name="T20" fmla="*/ 491 w 625"/>
                  <a:gd name="T21" fmla="*/ 89 h 429"/>
                  <a:gd name="T22" fmla="*/ 473 w 625"/>
                  <a:gd name="T23" fmla="*/ 98 h 429"/>
                  <a:gd name="T24" fmla="*/ 473 w 625"/>
                  <a:gd name="T25" fmla="*/ 116 h 429"/>
                  <a:gd name="T26" fmla="*/ 509 w 625"/>
                  <a:gd name="T27" fmla="*/ 134 h 429"/>
                  <a:gd name="T28" fmla="*/ 545 w 625"/>
                  <a:gd name="T29" fmla="*/ 143 h 429"/>
                  <a:gd name="T30" fmla="*/ 562 w 625"/>
                  <a:gd name="T31" fmla="*/ 179 h 429"/>
                  <a:gd name="T32" fmla="*/ 562 w 625"/>
                  <a:gd name="T33" fmla="*/ 232 h 429"/>
                  <a:gd name="T34" fmla="*/ 562 w 625"/>
                  <a:gd name="T35" fmla="*/ 250 h 429"/>
                  <a:gd name="T36" fmla="*/ 598 w 625"/>
                  <a:gd name="T37" fmla="*/ 268 h 429"/>
                  <a:gd name="T38" fmla="*/ 625 w 625"/>
                  <a:gd name="T39" fmla="*/ 277 h 429"/>
                  <a:gd name="T40" fmla="*/ 616 w 625"/>
                  <a:gd name="T41" fmla="*/ 304 h 429"/>
                  <a:gd name="T42" fmla="*/ 598 w 625"/>
                  <a:gd name="T43" fmla="*/ 313 h 429"/>
                  <a:gd name="T44" fmla="*/ 580 w 625"/>
                  <a:gd name="T45" fmla="*/ 322 h 429"/>
                  <a:gd name="T46" fmla="*/ 553 w 625"/>
                  <a:gd name="T47" fmla="*/ 322 h 429"/>
                  <a:gd name="T48" fmla="*/ 536 w 625"/>
                  <a:gd name="T49" fmla="*/ 357 h 429"/>
                  <a:gd name="T50" fmla="*/ 500 w 625"/>
                  <a:gd name="T51" fmla="*/ 393 h 429"/>
                  <a:gd name="T52" fmla="*/ 464 w 625"/>
                  <a:gd name="T53" fmla="*/ 393 h 429"/>
                  <a:gd name="T54" fmla="*/ 446 w 625"/>
                  <a:gd name="T55" fmla="*/ 375 h 429"/>
                  <a:gd name="T56" fmla="*/ 428 w 625"/>
                  <a:gd name="T57" fmla="*/ 357 h 429"/>
                  <a:gd name="T58" fmla="*/ 402 w 625"/>
                  <a:gd name="T59" fmla="*/ 375 h 429"/>
                  <a:gd name="T60" fmla="*/ 357 w 625"/>
                  <a:gd name="T61" fmla="*/ 366 h 429"/>
                  <a:gd name="T62" fmla="*/ 348 w 625"/>
                  <a:gd name="T63" fmla="*/ 331 h 429"/>
                  <a:gd name="T64" fmla="*/ 330 w 625"/>
                  <a:gd name="T65" fmla="*/ 357 h 429"/>
                  <a:gd name="T66" fmla="*/ 294 w 625"/>
                  <a:gd name="T67" fmla="*/ 375 h 429"/>
                  <a:gd name="T68" fmla="*/ 286 w 625"/>
                  <a:gd name="T69" fmla="*/ 393 h 429"/>
                  <a:gd name="T70" fmla="*/ 277 w 625"/>
                  <a:gd name="T71" fmla="*/ 420 h 429"/>
                  <a:gd name="T72" fmla="*/ 259 w 625"/>
                  <a:gd name="T73" fmla="*/ 411 h 429"/>
                  <a:gd name="T74" fmla="*/ 223 w 625"/>
                  <a:gd name="T75" fmla="*/ 402 h 429"/>
                  <a:gd name="T76" fmla="*/ 187 w 625"/>
                  <a:gd name="T77" fmla="*/ 411 h 429"/>
                  <a:gd name="T78" fmla="*/ 152 w 625"/>
                  <a:gd name="T79" fmla="*/ 420 h 429"/>
                  <a:gd name="T80" fmla="*/ 134 w 625"/>
                  <a:gd name="T81" fmla="*/ 411 h 429"/>
                  <a:gd name="T82" fmla="*/ 107 w 625"/>
                  <a:gd name="T83" fmla="*/ 402 h 429"/>
                  <a:gd name="T84" fmla="*/ 71 w 625"/>
                  <a:gd name="T85" fmla="*/ 384 h 429"/>
                  <a:gd name="T86" fmla="*/ 18 w 625"/>
                  <a:gd name="T87" fmla="*/ 384 h 429"/>
                  <a:gd name="T88" fmla="*/ 0 w 625"/>
                  <a:gd name="T89" fmla="*/ 348 h 429"/>
                  <a:gd name="T90" fmla="*/ 26 w 625"/>
                  <a:gd name="T91" fmla="*/ 304 h 429"/>
                  <a:gd name="T92" fmla="*/ 44 w 625"/>
                  <a:gd name="T93" fmla="*/ 277 h 429"/>
                  <a:gd name="T94" fmla="*/ 53 w 625"/>
                  <a:gd name="T95" fmla="*/ 250 h 429"/>
                  <a:gd name="T96" fmla="*/ 71 w 625"/>
                  <a:gd name="T97" fmla="*/ 214 h 429"/>
                  <a:gd name="T98" fmla="*/ 62 w 625"/>
                  <a:gd name="T99" fmla="*/ 179 h 429"/>
                  <a:gd name="T100" fmla="*/ 35 w 625"/>
                  <a:gd name="T101" fmla="*/ 170 h 429"/>
                  <a:gd name="T102" fmla="*/ 9 w 625"/>
                  <a:gd name="T103" fmla="*/ 152 h 429"/>
                  <a:gd name="T104" fmla="*/ 26 w 625"/>
                  <a:gd name="T105" fmla="*/ 134 h 429"/>
                  <a:gd name="T106" fmla="*/ 44 w 625"/>
                  <a:gd name="T107" fmla="*/ 116 h 429"/>
                  <a:gd name="T108" fmla="*/ 53 w 625"/>
                  <a:gd name="T109" fmla="*/ 107 h 429"/>
                  <a:gd name="T110" fmla="*/ 80 w 625"/>
                  <a:gd name="T111" fmla="*/ 98 h 429"/>
                  <a:gd name="T112" fmla="*/ 107 w 625"/>
                  <a:gd name="T113" fmla="*/ 81 h 429"/>
                  <a:gd name="T114" fmla="*/ 116 w 625"/>
                  <a:gd name="T115" fmla="*/ 45 h 429"/>
                  <a:gd name="T116" fmla="*/ 143 w 625"/>
                  <a:gd name="T117" fmla="*/ 36 h 429"/>
                  <a:gd name="T118" fmla="*/ 178 w 625"/>
                  <a:gd name="T119" fmla="*/ 45 h 429"/>
                  <a:gd name="T120" fmla="*/ 205 w 625"/>
                  <a:gd name="T121" fmla="*/ 45 h 429"/>
                  <a:gd name="T122" fmla="*/ 205 w 625"/>
                  <a:gd name="T123" fmla="*/ 27 h 429"/>
                  <a:gd name="T124" fmla="*/ 214 w 625"/>
                  <a:gd name="T125" fmla="*/ 9 h 42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  <a:cxn ang="0">
                    <a:pos x="T124" y="T125"/>
                  </a:cxn>
                </a:cxnLst>
                <a:rect l="0" t="0" r="r" b="b"/>
                <a:pathLst>
                  <a:path w="625" h="429">
                    <a:moveTo>
                      <a:pt x="223" y="0"/>
                    </a:moveTo>
                    <a:lnTo>
                      <a:pt x="232" y="18"/>
                    </a:lnTo>
                    <a:lnTo>
                      <a:pt x="241" y="27"/>
                    </a:lnTo>
                    <a:lnTo>
                      <a:pt x="268" y="27"/>
                    </a:lnTo>
                    <a:lnTo>
                      <a:pt x="286" y="27"/>
                    </a:lnTo>
                    <a:lnTo>
                      <a:pt x="294" y="9"/>
                    </a:lnTo>
                    <a:lnTo>
                      <a:pt x="321" y="9"/>
                    </a:lnTo>
                    <a:lnTo>
                      <a:pt x="330" y="9"/>
                    </a:lnTo>
                    <a:lnTo>
                      <a:pt x="330" y="18"/>
                    </a:lnTo>
                    <a:lnTo>
                      <a:pt x="330" y="36"/>
                    </a:lnTo>
                    <a:lnTo>
                      <a:pt x="348" y="45"/>
                    </a:lnTo>
                    <a:lnTo>
                      <a:pt x="357" y="45"/>
                    </a:lnTo>
                    <a:lnTo>
                      <a:pt x="366" y="54"/>
                    </a:lnTo>
                    <a:lnTo>
                      <a:pt x="366" y="72"/>
                    </a:lnTo>
                    <a:lnTo>
                      <a:pt x="375" y="89"/>
                    </a:lnTo>
                    <a:lnTo>
                      <a:pt x="393" y="98"/>
                    </a:lnTo>
                    <a:lnTo>
                      <a:pt x="411" y="98"/>
                    </a:lnTo>
                    <a:lnTo>
                      <a:pt x="437" y="89"/>
                    </a:lnTo>
                    <a:lnTo>
                      <a:pt x="455" y="81"/>
                    </a:lnTo>
                    <a:lnTo>
                      <a:pt x="464" y="89"/>
                    </a:lnTo>
                    <a:lnTo>
                      <a:pt x="482" y="89"/>
                    </a:lnTo>
                    <a:lnTo>
                      <a:pt x="491" y="89"/>
                    </a:lnTo>
                    <a:lnTo>
                      <a:pt x="491" y="98"/>
                    </a:lnTo>
                    <a:lnTo>
                      <a:pt x="473" y="98"/>
                    </a:lnTo>
                    <a:lnTo>
                      <a:pt x="464" y="107"/>
                    </a:lnTo>
                    <a:lnTo>
                      <a:pt x="473" y="116"/>
                    </a:lnTo>
                    <a:lnTo>
                      <a:pt x="491" y="125"/>
                    </a:lnTo>
                    <a:lnTo>
                      <a:pt x="509" y="134"/>
                    </a:lnTo>
                    <a:lnTo>
                      <a:pt x="527" y="134"/>
                    </a:lnTo>
                    <a:lnTo>
                      <a:pt x="545" y="143"/>
                    </a:lnTo>
                    <a:lnTo>
                      <a:pt x="562" y="170"/>
                    </a:lnTo>
                    <a:lnTo>
                      <a:pt x="562" y="179"/>
                    </a:lnTo>
                    <a:lnTo>
                      <a:pt x="562" y="197"/>
                    </a:lnTo>
                    <a:lnTo>
                      <a:pt x="562" y="232"/>
                    </a:lnTo>
                    <a:lnTo>
                      <a:pt x="562" y="241"/>
                    </a:lnTo>
                    <a:lnTo>
                      <a:pt x="562" y="250"/>
                    </a:lnTo>
                    <a:lnTo>
                      <a:pt x="580" y="259"/>
                    </a:lnTo>
                    <a:lnTo>
                      <a:pt x="598" y="268"/>
                    </a:lnTo>
                    <a:lnTo>
                      <a:pt x="616" y="268"/>
                    </a:lnTo>
                    <a:lnTo>
                      <a:pt x="625" y="277"/>
                    </a:lnTo>
                    <a:lnTo>
                      <a:pt x="625" y="286"/>
                    </a:lnTo>
                    <a:lnTo>
                      <a:pt x="616" y="304"/>
                    </a:lnTo>
                    <a:lnTo>
                      <a:pt x="616" y="304"/>
                    </a:lnTo>
                    <a:lnTo>
                      <a:pt x="598" y="313"/>
                    </a:lnTo>
                    <a:lnTo>
                      <a:pt x="589" y="313"/>
                    </a:lnTo>
                    <a:lnTo>
                      <a:pt x="580" y="322"/>
                    </a:lnTo>
                    <a:lnTo>
                      <a:pt x="571" y="313"/>
                    </a:lnTo>
                    <a:lnTo>
                      <a:pt x="553" y="322"/>
                    </a:lnTo>
                    <a:lnTo>
                      <a:pt x="545" y="331"/>
                    </a:lnTo>
                    <a:lnTo>
                      <a:pt x="536" y="357"/>
                    </a:lnTo>
                    <a:lnTo>
                      <a:pt x="518" y="375"/>
                    </a:lnTo>
                    <a:lnTo>
                      <a:pt x="500" y="393"/>
                    </a:lnTo>
                    <a:lnTo>
                      <a:pt x="482" y="402"/>
                    </a:lnTo>
                    <a:lnTo>
                      <a:pt x="464" y="393"/>
                    </a:lnTo>
                    <a:lnTo>
                      <a:pt x="455" y="384"/>
                    </a:lnTo>
                    <a:lnTo>
                      <a:pt x="446" y="375"/>
                    </a:lnTo>
                    <a:lnTo>
                      <a:pt x="437" y="357"/>
                    </a:lnTo>
                    <a:lnTo>
                      <a:pt x="428" y="357"/>
                    </a:lnTo>
                    <a:lnTo>
                      <a:pt x="411" y="366"/>
                    </a:lnTo>
                    <a:lnTo>
                      <a:pt x="402" y="375"/>
                    </a:lnTo>
                    <a:lnTo>
                      <a:pt x="384" y="375"/>
                    </a:lnTo>
                    <a:lnTo>
                      <a:pt x="357" y="366"/>
                    </a:lnTo>
                    <a:lnTo>
                      <a:pt x="357" y="357"/>
                    </a:lnTo>
                    <a:lnTo>
                      <a:pt x="348" y="331"/>
                    </a:lnTo>
                    <a:lnTo>
                      <a:pt x="339" y="339"/>
                    </a:lnTo>
                    <a:lnTo>
                      <a:pt x="330" y="357"/>
                    </a:lnTo>
                    <a:lnTo>
                      <a:pt x="321" y="366"/>
                    </a:lnTo>
                    <a:lnTo>
                      <a:pt x="294" y="375"/>
                    </a:lnTo>
                    <a:lnTo>
                      <a:pt x="286" y="375"/>
                    </a:lnTo>
                    <a:lnTo>
                      <a:pt x="286" y="393"/>
                    </a:lnTo>
                    <a:lnTo>
                      <a:pt x="277" y="402"/>
                    </a:lnTo>
                    <a:lnTo>
                      <a:pt x="277" y="420"/>
                    </a:lnTo>
                    <a:lnTo>
                      <a:pt x="268" y="420"/>
                    </a:lnTo>
                    <a:lnTo>
                      <a:pt x="259" y="411"/>
                    </a:lnTo>
                    <a:lnTo>
                      <a:pt x="241" y="402"/>
                    </a:lnTo>
                    <a:lnTo>
                      <a:pt x="223" y="402"/>
                    </a:lnTo>
                    <a:lnTo>
                      <a:pt x="205" y="402"/>
                    </a:lnTo>
                    <a:lnTo>
                      <a:pt x="187" y="411"/>
                    </a:lnTo>
                    <a:lnTo>
                      <a:pt x="178" y="429"/>
                    </a:lnTo>
                    <a:lnTo>
                      <a:pt x="152" y="420"/>
                    </a:lnTo>
                    <a:lnTo>
                      <a:pt x="143" y="420"/>
                    </a:lnTo>
                    <a:lnTo>
                      <a:pt x="134" y="411"/>
                    </a:lnTo>
                    <a:lnTo>
                      <a:pt x="125" y="411"/>
                    </a:lnTo>
                    <a:lnTo>
                      <a:pt x="107" y="402"/>
                    </a:lnTo>
                    <a:lnTo>
                      <a:pt x="89" y="393"/>
                    </a:lnTo>
                    <a:lnTo>
                      <a:pt x="71" y="384"/>
                    </a:lnTo>
                    <a:lnTo>
                      <a:pt x="44" y="384"/>
                    </a:lnTo>
                    <a:lnTo>
                      <a:pt x="18" y="384"/>
                    </a:lnTo>
                    <a:lnTo>
                      <a:pt x="9" y="366"/>
                    </a:lnTo>
                    <a:lnTo>
                      <a:pt x="0" y="348"/>
                    </a:lnTo>
                    <a:lnTo>
                      <a:pt x="18" y="331"/>
                    </a:lnTo>
                    <a:lnTo>
                      <a:pt x="26" y="304"/>
                    </a:lnTo>
                    <a:lnTo>
                      <a:pt x="35" y="286"/>
                    </a:lnTo>
                    <a:lnTo>
                      <a:pt x="44" y="277"/>
                    </a:lnTo>
                    <a:lnTo>
                      <a:pt x="44" y="268"/>
                    </a:lnTo>
                    <a:lnTo>
                      <a:pt x="53" y="250"/>
                    </a:lnTo>
                    <a:lnTo>
                      <a:pt x="62" y="232"/>
                    </a:lnTo>
                    <a:lnTo>
                      <a:pt x="71" y="214"/>
                    </a:lnTo>
                    <a:lnTo>
                      <a:pt x="71" y="197"/>
                    </a:lnTo>
                    <a:lnTo>
                      <a:pt x="62" y="179"/>
                    </a:lnTo>
                    <a:lnTo>
                      <a:pt x="53" y="170"/>
                    </a:lnTo>
                    <a:lnTo>
                      <a:pt x="35" y="170"/>
                    </a:lnTo>
                    <a:lnTo>
                      <a:pt x="9" y="161"/>
                    </a:lnTo>
                    <a:lnTo>
                      <a:pt x="9" y="152"/>
                    </a:lnTo>
                    <a:lnTo>
                      <a:pt x="18" y="143"/>
                    </a:lnTo>
                    <a:lnTo>
                      <a:pt x="26" y="134"/>
                    </a:lnTo>
                    <a:lnTo>
                      <a:pt x="35" y="125"/>
                    </a:lnTo>
                    <a:lnTo>
                      <a:pt x="44" y="116"/>
                    </a:lnTo>
                    <a:lnTo>
                      <a:pt x="44" y="116"/>
                    </a:lnTo>
                    <a:lnTo>
                      <a:pt x="53" y="107"/>
                    </a:lnTo>
                    <a:lnTo>
                      <a:pt x="62" y="107"/>
                    </a:lnTo>
                    <a:lnTo>
                      <a:pt x="80" y="98"/>
                    </a:lnTo>
                    <a:lnTo>
                      <a:pt x="89" y="89"/>
                    </a:lnTo>
                    <a:lnTo>
                      <a:pt x="107" y="81"/>
                    </a:lnTo>
                    <a:lnTo>
                      <a:pt x="116" y="63"/>
                    </a:lnTo>
                    <a:lnTo>
                      <a:pt x="116" y="45"/>
                    </a:lnTo>
                    <a:lnTo>
                      <a:pt x="125" y="36"/>
                    </a:lnTo>
                    <a:lnTo>
                      <a:pt x="143" y="36"/>
                    </a:lnTo>
                    <a:lnTo>
                      <a:pt x="160" y="45"/>
                    </a:lnTo>
                    <a:lnTo>
                      <a:pt x="178" y="45"/>
                    </a:lnTo>
                    <a:lnTo>
                      <a:pt x="196" y="45"/>
                    </a:lnTo>
                    <a:lnTo>
                      <a:pt x="205" y="45"/>
                    </a:lnTo>
                    <a:lnTo>
                      <a:pt x="205" y="36"/>
                    </a:lnTo>
                    <a:lnTo>
                      <a:pt x="205" y="27"/>
                    </a:lnTo>
                    <a:lnTo>
                      <a:pt x="205" y="9"/>
                    </a:lnTo>
                    <a:lnTo>
                      <a:pt x="214" y="9"/>
                    </a:lnTo>
                    <a:lnTo>
                      <a:pt x="223" y="0"/>
                    </a:lnTo>
                  </a:path>
                </a:pathLst>
              </a:custGeom>
              <a:solidFill>
                <a:schemeClr val="tx2">
                  <a:lumMod val="75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63" name="Freeform 70">
                <a:extLst>
                  <a:ext uri="{FF2B5EF4-FFF2-40B4-BE49-F238E27FC236}">
                    <a16:creationId xmlns:a16="http://schemas.microsoft.com/office/drawing/2014/main" id="{01EA4BB1-D289-415A-A30D-9688288C921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17" y="8831"/>
                <a:ext cx="1487" cy="2162"/>
              </a:xfrm>
              <a:custGeom>
                <a:avLst/>
                <a:gdLst>
                  <a:gd name="T0" fmla="*/ 500 w 670"/>
                  <a:gd name="T1" fmla="*/ 875 h 911"/>
                  <a:gd name="T2" fmla="*/ 482 w 670"/>
                  <a:gd name="T3" fmla="*/ 902 h 911"/>
                  <a:gd name="T4" fmla="*/ 446 w 670"/>
                  <a:gd name="T5" fmla="*/ 884 h 911"/>
                  <a:gd name="T6" fmla="*/ 429 w 670"/>
                  <a:gd name="T7" fmla="*/ 911 h 911"/>
                  <a:gd name="T8" fmla="*/ 339 w 670"/>
                  <a:gd name="T9" fmla="*/ 893 h 911"/>
                  <a:gd name="T10" fmla="*/ 321 w 670"/>
                  <a:gd name="T11" fmla="*/ 812 h 911"/>
                  <a:gd name="T12" fmla="*/ 339 w 670"/>
                  <a:gd name="T13" fmla="*/ 777 h 911"/>
                  <a:gd name="T14" fmla="*/ 339 w 670"/>
                  <a:gd name="T15" fmla="*/ 750 h 911"/>
                  <a:gd name="T16" fmla="*/ 339 w 670"/>
                  <a:gd name="T17" fmla="*/ 714 h 911"/>
                  <a:gd name="T18" fmla="*/ 295 w 670"/>
                  <a:gd name="T19" fmla="*/ 661 h 911"/>
                  <a:gd name="T20" fmla="*/ 304 w 670"/>
                  <a:gd name="T21" fmla="*/ 616 h 911"/>
                  <a:gd name="T22" fmla="*/ 295 w 670"/>
                  <a:gd name="T23" fmla="*/ 589 h 911"/>
                  <a:gd name="T24" fmla="*/ 250 w 670"/>
                  <a:gd name="T25" fmla="*/ 571 h 911"/>
                  <a:gd name="T26" fmla="*/ 259 w 670"/>
                  <a:gd name="T27" fmla="*/ 527 h 911"/>
                  <a:gd name="T28" fmla="*/ 286 w 670"/>
                  <a:gd name="T29" fmla="*/ 473 h 911"/>
                  <a:gd name="T30" fmla="*/ 295 w 670"/>
                  <a:gd name="T31" fmla="*/ 428 h 911"/>
                  <a:gd name="T32" fmla="*/ 277 w 670"/>
                  <a:gd name="T33" fmla="*/ 357 h 911"/>
                  <a:gd name="T34" fmla="*/ 250 w 670"/>
                  <a:gd name="T35" fmla="*/ 312 h 911"/>
                  <a:gd name="T36" fmla="*/ 241 w 670"/>
                  <a:gd name="T37" fmla="*/ 259 h 911"/>
                  <a:gd name="T38" fmla="*/ 223 w 670"/>
                  <a:gd name="T39" fmla="*/ 232 h 911"/>
                  <a:gd name="T40" fmla="*/ 170 w 670"/>
                  <a:gd name="T41" fmla="*/ 205 h 911"/>
                  <a:gd name="T42" fmla="*/ 125 w 670"/>
                  <a:gd name="T43" fmla="*/ 187 h 911"/>
                  <a:gd name="T44" fmla="*/ 27 w 670"/>
                  <a:gd name="T45" fmla="*/ 187 h 911"/>
                  <a:gd name="T46" fmla="*/ 36 w 670"/>
                  <a:gd name="T47" fmla="*/ 107 h 911"/>
                  <a:gd name="T48" fmla="*/ 0 w 670"/>
                  <a:gd name="T49" fmla="*/ 53 h 911"/>
                  <a:gd name="T50" fmla="*/ 80 w 670"/>
                  <a:gd name="T51" fmla="*/ 27 h 911"/>
                  <a:gd name="T52" fmla="*/ 134 w 670"/>
                  <a:gd name="T53" fmla="*/ 35 h 911"/>
                  <a:gd name="T54" fmla="*/ 170 w 670"/>
                  <a:gd name="T55" fmla="*/ 35 h 911"/>
                  <a:gd name="T56" fmla="*/ 196 w 670"/>
                  <a:gd name="T57" fmla="*/ 27 h 911"/>
                  <a:gd name="T58" fmla="*/ 223 w 670"/>
                  <a:gd name="T59" fmla="*/ 53 h 911"/>
                  <a:gd name="T60" fmla="*/ 268 w 670"/>
                  <a:gd name="T61" fmla="*/ 62 h 911"/>
                  <a:gd name="T62" fmla="*/ 268 w 670"/>
                  <a:gd name="T63" fmla="*/ 27 h 911"/>
                  <a:gd name="T64" fmla="*/ 304 w 670"/>
                  <a:gd name="T65" fmla="*/ 9 h 911"/>
                  <a:gd name="T66" fmla="*/ 330 w 670"/>
                  <a:gd name="T67" fmla="*/ 18 h 911"/>
                  <a:gd name="T68" fmla="*/ 348 w 670"/>
                  <a:gd name="T69" fmla="*/ 35 h 911"/>
                  <a:gd name="T70" fmla="*/ 357 w 670"/>
                  <a:gd name="T71" fmla="*/ 80 h 911"/>
                  <a:gd name="T72" fmla="*/ 402 w 670"/>
                  <a:gd name="T73" fmla="*/ 80 h 911"/>
                  <a:gd name="T74" fmla="*/ 438 w 670"/>
                  <a:gd name="T75" fmla="*/ 71 h 911"/>
                  <a:gd name="T76" fmla="*/ 473 w 670"/>
                  <a:gd name="T77" fmla="*/ 62 h 911"/>
                  <a:gd name="T78" fmla="*/ 509 w 670"/>
                  <a:gd name="T79" fmla="*/ 80 h 911"/>
                  <a:gd name="T80" fmla="*/ 536 w 670"/>
                  <a:gd name="T81" fmla="*/ 89 h 911"/>
                  <a:gd name="T82" fmla="*/ 545 w 670"/>
                  <a:gd name="T83" fmla="*/ 143 h 911"/>
                  <a:gd name="T84" fmla="*/ 598 w 670"/>
                  <a:gd name="T85" fmla="*/ 160 h 911"/>
                  <a:gd name="T86" fmla="*/ 652 w 670"/>
                  <a:gd name="T87" fmla="*/ 143 h 911"/>
                  <a:gd name="T88" fmla="*/ 670 w 670"/>
                  <a:gd name="T89" fmla="*/ 178 h 911"/>
                  <a:gd name="T90" fmla="*/ 661 w 670"/>
                  <a:gd name="T91" fmla="*/ 205 h 911"/>
                  <a:gd name="T92" fmla="*/ 634 w 670"/>
                  <a:gd name="T93" fmla="*/ 232 h 911"/>
                  <a:gd name="T94" fmla="*/ 634 w 670"/>
                  <a:gd name="T95" fmla="*/ 312 h 911"/>
                  <a:gd name="T96" fmla="*/ 616 w 670"/>
                  <a:gd name="T97" fmla="*/ 339 h 911"/>
                  <a:gd name="T98" fmla="*/ 589 w 670"/>
                  <a:gd name="T99" fmla="*/ 339 h 911"/>
                  <a:gd name="T100" fmla="*/ 589 w 670"/>
                  <a:gd name="T101" fmla="*/ 402 h 911"/>
                  <a:gd name="T102" fmla="*/ 580 w 670"/>
                  <a:gd name="T103" fmla="*/ 446 h 911"/>
                  <a:gd name="T104" fmla="*/ 572 w 670"/>
                  <a:gd name="T105" fmla="*/ 464 h 911"/>
                  <a:gd name="T106" fmla="*/ 616 w 670"/>
                  <a:gd name="T107" fmla="*/ 464 h 911"/>
                  <a:gd name="T108" fmla="*/ 634 w 670"/>
                  <a:gd name="T109" fmla="*/ 500 h 911"/>
                  <a:gd name="T110" fmla="*/ 616 w 670"/>
                  <a:gd name="T111" fmla="*/ 553 h 911"/>
                  <a:gd name="T112" fmla="*/ 607 w 670"/>
                  <a:gd name="T113" fmla="*/ 598 h 911"/>
                  <a:gd name="T114" fmla="*/ 607 w 670"/>
                  <a:gd name="T115" fmla="*/ 661 h 911"/>
                  <a:gd name="T116" fmla="*/ 625 w 670"/>
                  <a:gd name="T117" fmla="*/ 705 h 911"/>
                  <a:gd name="T118" fmla="*/ 616 w 670"/>
                  <a:gd name="T119" fmla="*/ 741 h 911"/>
                  <a:gd name="T120" fmla="*/ 598 w 670"/>
                  <a:gd name="T121" fmla="*/ 777 h 911"/>
                  <a:gd name="T122" fmla="*/ 580 w 670"/>
                  <a:gd name="T123" fmla="*/ 821 h 911"/>
                  <a:gd name="T124" fmla="*/ 563 w 670"/>
                  <a:gd name="T125" fmla="*/ 857 h 91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  <a:cxn ang="0">
                    <a:pos x="T124" y="T125"/>
                  </a:cxn>
                </a:cxnLst>
                <a:rect l="0" t="0" r="r" b="b"/>
                <a:pathLst>
                  <a:path w="670" h="911">
                    <a:moveTo>
                      <a:pt x="554" y="875"/>
                    </a:moveTo>
                    <a:lnTo>
                      <a:pt x="545" y="875"/>
                    </a:lnTo>
                    <a:lnTo>
                      <a:pt x="545" y="875"/>
                    </a:lnTo>
                    <a:lnTo>
                      <a:pt x="545" y="875"/>
                    </a:lnTo>
                    <a:lnTo>
                      <a:pt x="536" y="866"/>
                    </a:lnTo>
                    <a:lnTo>
                      <a:pt x="536" y="866"/>
                    </a:lnTo>
                    <a:lnTo>
                      <a:pt x="527" y="866"/>
                    </a:lnTo>
                    <a:lnTo>
                      <a:pt x="527" y="866"/>
                    </a:lnTo>
                    <a:lnTo>
                      <a:pt x="527" y="866"/>
                    </a:lnTo>
                    <a:lnTo>
                      <a:pt x="518" y="866"/>
                    </a:lnTo>
                    <a:lnTo>
                      <a:pt x="518" y="866"/>
                    </a:lnTo>
                    <a:lnTo>
                      <a:pt x="518" y="866"/>
                    </a:lnTo>
                    <a:lnTo>
                      <a:pt x="518" y="866"/>
                    </a:lnTo>
                    <a:lnTo>
                      <a:pt x="509" y="866"/>
                    </a:lnTo>
                    <a:lnTo>
                      <a:pt x="509" y="875"/>
                    </a:lnTo>
                    <a:lnTo>
                      <a:pt x="509" y="875"/>
                    </a:lnTo>
                    <a:lnTo>
                      <a:pt x="509" y="875"/>
                    </a:lnTo>
                    <a:lnTo>
                      <a:pt x="500" y="875"/>
                    </a:lnTo>
                    <a:lnTo>
                      <a:pt x="500" y="875"/>
                    </a:lnTo>
                    <a:lnTo>
                      <a:pt x="500" y="875"/>
                    </a:lnTo>
                    <a:lnTo>
                      <a:pt x="500" y="884"/>
                    </a:lnTo>
                    <a:lnTo>
                      <a:pt x="500" y="884"/>
                    </a:lnTo>
                    <a:lnTo>
                      <a:pt x="500" y="884"/>
                    </a:lnTo>
                    <a:lnTo>
                      <a:pt x="500" y="884"/>
                    </a:lnTo>
                    <a:lnTo>
                      <a:pt x="491" y="884"/>
                    </a:lnTo>
                    <a:lnTo>
                      <a:pt x="491" y="893"/>
                    </a:lnTo>
                    <a:lnTo>
                      <a:pt x="491" y="893"/>
                    </a:lnTo>
                    <a:lnTo>
                      <a:pt x="491" y="893"/>
                    </a:lnTo>
                    <a:lnTo>
                      <a:pt x="491" y="902"/>
                    </a:lnTo>
                    <a:lnTo>
                      <a:pt x="491" y="902"/>
                    </a:lnTo>
                    <a:lnTo>
                      <a:pt x="491" y="902"/>
                    </a:lnTo>
                    <a:lnTo>
                      <a:pt x="491" y="902"/>
                    </a:lnTo>
                    <a:lnTo>
                      <a:pt x="491" y="911"/>
                    </a:lnTo>
                    <a:lnTo>
                      <a:pt x="491" y="911"/>
                    </a:lnTo>
                    <a:lnTo>
                      <a:pt x="491" y="911"/>
                    </a:lnTo>
                    <a:lnTo>
                      <a:pt x="482" y="911"/>
                    </a:lnTo>
                    <a:lnTo>
                      <a:pt x="482" y="902"/>
                    </a:lnTo>
                    <a:lnTo>
                      <a:pt x="482" y="902"/>
                    </a:lnTo>
                    <a:lnTo>
                      <a:pt x="482" y="902"/>
                    </a:lnTo>
                    <a:lnTo>
                      <a:pt x="473" y="902"/>
                    </a:lnTo>
                    <a:lnTo>
                      <a:pt x="473" y="902"/>
                    </a:lnTo>
                    <a:lnTo>
                      <a:pt x="473" y="902"/>
                    </a:lnTo>
                    <a:lnTo>
                      <a:pt x="473" y="893"/>
                    </a:lnTo>
                    <a:lnTo>
                      <a:pt x="464" y="893"/>
                    </a:lnTo>
                    <a:lnTo>
                      <a:pt x="464" y="893"/>
                    </a:lnTo>
                    <a:lnTo>
                      <a:pt x="464" y="893"/>
                    </a:lnTo>
                    <a:lnTo>
                      <a:pt x="464" y="893"/>
                    </a:lnTo>
                    <a:lnTo>
                      <a:pt x="464" y="884"/>
                    </a:lnTo>
                    <a:lnTo>
                      <a:pt x="455" y="884"/>
                    </a:lnTo>
                    <a:lnTo>
                      <a:pt x="455" y="884"/>
                    </a:lnTo>
                    <a:lnTo>
                      <a:pt x="455" y="884"/>
                    </a:lnTo>
                    <a:lnTo>
                      <a:pt x="455" y="884"/>
                    </a:lnTo>
                    <a:lnTo>
                      <a:pt x="455" y="884"/>
                    </a:lnTo>
                    <a:lnTo>
                      <a:pt x="446" y="884"/>
                    </a:lnTo>
                    <a:lnTo>
                      <a:pt x="446" y="884"/>
                    </a:lnTo>
                    <a:lnTo>
                      <a:pt x="446" y="884"/>
                    </a:lnTo>
                    <a:lnTo>
                      <a:pt x="446" y="884"/>
                    </a:lnTo>
                    <a:lnTo>
                      <a:pt x="446" y="884"/>
                    </a:lnTo>
                    <a:lnTo>
                      <a:pt x="446" y="884"/>
                    </a:lnTo>
                    <a:lnTo>
                      <a:pt x="446" y="893"/>
                    </a:lnTo>
                    <a:lnTo>
                      <a:pt x="446" y="893"/>
                    </a:lnTo>
                    <a:lnTo>
                      <a:pt x="446" y="893"/>
                    </a:lnTo>
                    <a:lnTo>
                      <a:pt x="446" y="893"/>
                    </a:lnTo>
                    <a:lnTo>
                      <a:pt x="446" y="902"/>
                    </a:lnTo>
                    <a:lnTo>
                      <a:pt x="446" y="902"/>
                    </a:lnTo>
                    <a:lnTo>
                      <a:pt x="446" y="902"/>
                    </a:lnTo>
                    <a:lnTo>
                      <a:pt x="446" y="902"/>
                    </a:lnTo>
                    <a:lnTo>
                      <a:pt x="438" y="902"/>
                    </a:lnTo>
                    <a:lnTo>
                      <a:pt x="438" y="902"/>
                    </a:lnTo>
                    <a:lnTo>
                      <a:pt x="438" y="902"/>
                    </a:lnTo>
                    <a:lnTo>
                      <a:pt x="438" y="911"/>
                    </a:lnTo>
                    <a:lnTo>
                      <a:pt x="438" y="911"/>
                    </a:lnTo>
                    <a:lnTo>
                      <a:pt x="438" y="911"/>
                    </a:lnTo>
                    <a:lnTo>
                      <a:pt x="429" y="911"/>
                    </a:lnTo>
                    <a:lnTo>
                      <a:pt x="429" y="911"/>
                    </a:lnTo>
                    <a:lnTo>
                      <a:pt x="429" y="911"/>
                    </a:lnTo>
                    <a:lnTo>
                      <a:pt x="420" y="911"/>
                    </a:lnTo>
                    <a:lnTo>
                      <a:pt x="420" y="911"/>
                    </a:lnTo>
                    <a:lnTo>
                      <a:pt x="420" y="911"/>
                    </a:lnTo>
                    <a:lnTo>
                      <a:pt x="411" y="911"/>
                    </a:lnTo>
                    <a:lnTo>
                      <a:pt x="411" y="911"/>
                    </a:lnTo>
                    <a:lnTo>
                      <a:pt x="402" y="911"/>
                    </a:lnTo>
                    <a:lnTo>
                      <a:pt x="402" y="911"/>
                    </a:lnTo>
                    <a:lnTo>
                      <a:pt x="393" y="911"/>
                    </a:lnTo>
                    <a:lnTo>
                      <a:pt x="384" y="911"/>
                    </a:lnTo>
                    <a:lnTo>
                      <a:pt x="384" y="911"/>
                    </a:lnTo>
                    <a:lnTo>
                      <a:pt x="375" y="911"/>
                    </a:lnTo>
                    <a:lnTo>
                      <a:pt x="366" y="911"/>
                    </a:lnTo>
                    <a:lnTo>
                      <a:pt x="366" y="911"/>
                    </a:lnTo>
                    <a:lnTo>
                      <a:pt x="357" y="902"/>
                    </a:lnTo>
                    <a:lnTo>
                      <a:pt x="357" y="902"/>
                    </a:lnTo>
                    <a:lnTo>
                      <a:pt x="348" y="902"/>
                    </a:lnTo>
                    <a:lnTo>
                      <a:pt x="348" y="902"/>
                    </a:lnTo>
                    <a:lnTo>
                      <a:pt x="339" y="893"/>
                    </a:lnTo>
                    <a:lnTo>
                      <a:pt x="339" y="893"/>
                    </a:lnTo>
                    <a:lnTo>
                      <a:pt x="339" y="884"/>
                    </a:lnTo>
                    <a:lnTo>
                      <a:pt x="339" y="884"/>
                    </a:lnTo>
                    <a:lnTo>
                      <a:pt x="330" y="875"/>
                    </a:lnTo>
                    <a:lnTo>
                      <a:pt x="330" y="875"/>
                    </a:lnTo>
                    <a:lnTo>
                      <a:pt x="330" y="866"/>
                    </a:lnTo>
                    <a:lnTo>
                      <a:pt x="330" y="857"/>
                    </a:lnTo>
                    <a:lnTo>
                      <a:pt x="330" y="857"/>
                    </a:lnTo>
                    <a:lnTo>
                      <a:pt x="330" y="848"/>
                    </a:lnTo>
                    <a:lnTo>
                      <a:pt x="330" y="848"/>
                    </a:lnTo>
                    <a:lnTo>
                      <a:pt x="330" y="839"/>
                    </a:lnTo>
                    <a:lnTo>
                      <a:pt x="330" y="839"/>
                    </a:lnTo>
                    <a:lnTo>
                      <a:pt x="330" y="830"/>
                    </a:lnTo>
                    <a:lnTo>
                      <a:pt x="330" y="830"/>
                    </a:lnTo>
                    <a:lnTo>
                      <a:pt x="330" y="830"/>
                    </a:lnTo>
                    <a:lnTo>
                      <a:pt x="321" y="821"/>
                    </a:lnTo>
                    <a:lnTo>
                      <a:pt x="321" y="821"/>
                    </a:lnTo>
                    <a:lnTo>
                      <a:pt x="321" y="821"/>
                    </a:lnTo>
                    <a:lnTo>
                      <a:pt x="321" y="812"/>
                    </a:lnTo>
                    <a:lnTo>
                      <a:pt x="321" y="812"/>
                    </a:lnTo>
                    <a:lnTo>
                      <a:pt x="321" y="812"/>
                    </a:lnTo>
                    <a:lnTo>
                      <a:pt x="321" y="812"/>
                    </a:lnTo>
                    <a:lnTo>
                      <a:pt x="330" y="812"/>
                    </a:lnTo>
                    <a:lnTo>
                      <a:pt x="330" y="812"/>
                    </a:lnTo>
                    <a:lnTo>
                      <a:pt x="330" y="803"/>
                    </a:lnTo>
                    <a:lnTo>
                      <a:pt x="330" y="803"/>
                    </a:lnTo>
                    <a:lnTo>
                      <a:pt x="339" y="803"/>
                    </a:lnTo>
                    <a:lnTo>
                      <a:pt x="339" y="803"/>
                    </a:lnTo>
                    <a:lnTo>
                      <a:pt x="339" y="803"/>
                    </a:lnTo>
                    <a:lnTo>
                      <a:pt x="339" y="803"/>
                    </a:lnTo>
                    <a:lnTo>
                      <a:pt x="339" y="803"/>
                    </a:lnTo>
                    <a:lnTo>
                      <a:pt x="348" y="794"/>
                    </a:lnTo>
                    <a:lnTo>
                      <a:pt x="348" y="794"/>
                    </a:lnTo>
                    <a:lnTo>
                      <a:pt x="348" y="794"/>
                    </a:lnTo>
                    <a:lnTo>
                      <a:pt x="348" y="794"/>
                    </a:lnTo>
                    <a:lnTo>
                      <a:pt x="348" y="786"/>
                    </a:lnTo>
                    <a:lnTo>
                      <a:pt x="348" y="786"/>
                    </a:lnTo>
                    <a:lnTo>
                      <a:pt x="339" y="786"/>
                    </a:lnTo>
                    <a:lnTo>
                      <a:pt x="339" y="777"/>
                    </a:lnTo>
                    <a:lnTo>
                      <a:pt x="339" y="777"/>
                    </a:lnTo>
                    <a:lnTo>
                      <a:pt x="339" y="777"/>
                    </a:lnTo>
                    <a:lnTo>
                      <a:pt x="339" y="768"/>
                    </a:lnTo>
                    <a:lnTo>
                      <a:pt x="330" y="768"/>
                    </a:lnTo>
                    <a:lnTo>
                      <a:pt x="330" y="768"/>
                    </a:lnTo>
                    <a:lnTo>
                      <a:pt x="330" y="768"/>
                    </a:lnTo>
                    <a:lnTo>
                      <a:pt x="330" y="759"/>
                    </a:lnTo>
                    <a:lnTo>
                      <a:pt x="321" y="759"/>
                    </a:lnTo>
                    <a:lnTo>
                      <a:pt x="321" y="759"/>
                    </a:lnTo>
                    <a:lnTo>
                      <a:pt x="321" y="759"/>
                    </a:lnTo>
                    <a:lnTo>
                      <a:pt x="321" y="759"/>
                    </a:lnTo>
                    <a:lnTo>
                      <a:pt x="321" y="750"/>
                    </a:lnTo>
                    <a:lnTo>
                      <a:pt x="321" y="750"/>
                    </a:lnTo>
                    <a:lnTo>
                      <a:pt x="321" y="750"/>
                    </a:lnTo>
                    <a:lnTo>
                      <a:pt x="330" y="750"/>
                    </a:lnTo>
                    <a:lnTo>
                      <a:pt x="330" y="750"/>
                    </a:lnTo>
                    <a:lnTo>
                      <a:pt x="330" y="750"/>
                    </a:lnTo>
                    <a:lnTo>
                      <a:pt x="330" y="750"/>
                    </a:lnTo>
                    <a:lnTo>
                      <a:pt x="339" y="750"/>
                    </a:lnTo>
                    <a:lnTo>
                      <a:pt x="339" y="750"/>
                    </a:lnTo>
                    <a:lnTo>
                      <a:pt x="339" y="750"/>
                    </a:lnTo>
                    <a:lnTo>
                      <a:pt x="348" y="750"/>
                    </a:lnTo>
                    <a:lnTo>
                      <a:pt x="348" y="750"/>
                    </a:lnTo>
                    <a:lnTo>
                      <a:pt x="348" y="750"/>
                    </a:lnTo>
                    <a:lnTo>
                      <a:pt x="357" y="750"/>
                    </a:lnTo>
                    <a:lnTo>
                      <a:pt x="357" y="750"/>
                    </a:lnTo>
                    <a:lnTo>
                      <a:pt x="357" y="750"/>
                    </a:lnTo>
                    <a:lnTo>
                      <a:pt x="357" y="741"/>
                    </a:lnTo>
                    <a:lnTo>
                      <a:pt x="357" y="741"/>
                    </a:lnTo>
                    <a:lnTo>
                      <a:pt x="357" y="741"/>
                    </a:lnTo>
                    <a:lnTo>
                      <a:pt x="357" y="741"/>
                    </a:lnTo>
                    <a:lnTo>
                      <a:pt x="357" y="732"/>
                    </a:lnTo>
                    <a:lnTo>
                      <a:pt x="357" y="732"/>
                    </a:lnTo>
                    <a:lnTo>
                      <a:pt x="348" y="732"/>
                    </a:lnTo>
                    <a:lnTo>
                      <a:pt x="348" y="723"/>
                    </a:lnTo>
                    <a:lnTo>
                      <a:pt x="348" y="723"/>
                    </a:lnTo>
                    <a:lnTo>
                      <a:pt x="339" y="714"/>
                    </a:lnTo>
                    <a:lnTo>
                      <a:pt x="339" y="714"/>
                    </a:lnTo>
                    <a:lnTo>
                      <a:pt x="330" y="705"/>
                    </a:lnTo>
                    <a:lnTo>
                      <a:pt x="330" y="705"/>
                    </a:lnTo>
                    <a:lnTo>
                      <a:pt x="321" y="696"/>
                    </a:lnTo>
                    <a:lnTo>
                      <a:pt x="321" y="687"/>
                    </a:lnTo>
                    <a:lnTo>
                      <a:pt x="312" y="687"/>
                    </a:lnTo>
                    <a:lnTo>
                      <a:pt x="312" y="687"/>
                    </a:lnTo>
                    <a:lnTo>
                      <a:pt x="312" y="678"/>
                    </a:lnTo>
                    <a:lnTo>
                      <a:pt x="304" y="678"/>
                    </a:lnTo>
                    <a:lnTo>
                      <a:pt x="304" y="678"/>
                    </a:lnTo>
                    <a:lnTo>
                      <a:pt x="304" y="678"/>
                    </a:lnTo>
                    <a:lnTo>
                      <a:pt x="295" y="678"/>
                    </a:lnTo>
                    <a:lnTo>
                      <a:pt x="295" y="678"/>
                    </a:lnTo>
                    <a:lnTo>
                      <a:pt x="295" y="678"/>
                    </a:lnTo>
                    <a:lnTo>
                      <a:pt x="295" y="678"/>
                    </a:lnTo>
                    <a:lnTo>
                      <a:pt x="295" y="669"/>
                    </a:lnTo>
                    <a:lnTo>
                      <a:pt x="295" y="669"/>
                    </a:lnTo>
                    <a:lnTo>
                      <a:pt x="295" y="669"/>
                    </a:lnTo>
                    <a:lnTo>
                      <a:pt x="295" y="669"/>
                    </a:lnTo>
                    <a:lnTo>
                      <a:pt x="295" y="661"/>
                    </a:lnTo>
                    <a:lnTo>
                      <a:pt x="295" y="661"/>
                    </a:lnTo>
                    <a:lnTo>
                      <a:pt x="295" y="661"/>
                    </a:lnTo>
                    <a:lnTo>
                      <a:pt x="295" y="652"/>
                    </a:lnTo>
                    <a:lnTo>
                      <a:pt x="295" y="652"/>
                    </a:lnTo>
                    <a:lnTo>
                      <a:pt x="295" y="652"/>
                    </a:lnTo>
                    <a:lnTo>
                      <a:pt x="286" y="652"/>
                    </a:lnTo>
                    <a:lnTo>
                      <a:pt x="286" y="643"/>
                    </a:lnTo>
                    <a:lnTo>
                      <a:pt x="286" y="643"/>
                    </a:lnTo>
                    <a:lnTo>
                      <a:pt x="286" y="643"/>
                    </a:lnTo>
                    <a:lnTo>
                      <a:pt x="277" y="643"/>
                    </a:lnTo>
                    <a:lnTo>
                      <a:pt x="277" y="634"/>
                    </a:lnTo>
                    <a:lnTo>
                      <a:pt x="277" y="634"/>
                    </a:lnTo>
                    <a:lnTo>
                      <a:pt x="286" y="634"/>
                    </a:lnTo>
                    <a:lnTo>
                      <a:pt x="286" y="634"/>
                    </a:lnTo>
                    <a:lnTo>
                      <a:pt x="286" y="625"/>
                    </a:lnTo>
                    <a:lnTo>
                      <a:pt x="295" y="625"/>
                    </a:lnTo>
                    <a:lnTo>
                      <a:pt x="295" y="625"/>
                    </a:lnTo>
                    <a:lnTo>
                      <a:pt x="295" y="625"/>
                    </a:lnTo>
                    <a:lnTo>
                      <a:pt x="304" y="616"/>
                    </a:lnTo>
                    <a:lnTo>
                      <a:pt x="304" y="616"/>
                    </a:lnTo>
                    <a:lnTo>
                      <a:pt x="304" y="616"/>
                    </a:lnTo>
                    <a:lnTo>
                      <a:pt x="304" y="616"/>
                    </a:lnTo>
                    <a:lnTo>
                      <a:pt x="304" y="607"/>
                    </a:lnTo>
                    <a:lnTo>
                      <a:pt x="304" y="607"/>
                    </a:lnTo>
                    <a:lnTo>
                      <a:pt x="304" y="607"/>
                    </a:lnTo>
                    <a:lnTo>
                      <a:pt x="304" y="607"/>
                    </a:lnTo>
                    <a:lnTo>
                      <a:pt x="304" y="607"/>
                    </a:lnTo>
                    <a:lnTo>
                      <a:pt x="304" y="598"/>
                    </a:lnTo>
                    <a:lnTo>
                      <a:pt x="304" y="598"/>
                    </a:lnTo>
                    <a:lnTo>
                      <a:pt x="304" y="598"/>
                    </a:lnTo>
                    <a:lnTo>
                      <a:pt x="304" y="598"/>
                    </a:lnTo>
                    <a:lnTo>
                      <a:pt x="304" y="598"/>
                    </a:lnTo>
                    <a:lnTo>
                      <a:pt x="304" y="598"/>
                    </a:lnTo>
                    <a:lnTo>
                      <a:pt x="304" y="598"/>
                    </a:lnTo>
                    <a:lnTo>
                      <a:pt x="304" y="598"/>
                    </a:lnTo>
                    <a:lnTo>
                      <a:pt x="304" y="598"/>
                    </a:lnTo>
                    <a:lnTo>
                      <a:pt x="295" y="598"/>
                    </a:lnTo>
                    <a:lnTo>
                      <a:pt x="295" y="589"/>
                    </a:lnTo>
                    <a:lnTo>
                      <a:pt x="295" y="589"/>
                    </a:lnTo>
                    <a:lnTo>
                      <a:pt x="295" y="589"/>
                    </a:lnTo>
                    <a:lnTo>
                      <a:pt x="286" y="589"/>
                    </a:lnTo>
                    <a:lnTo>
                      <a:pt x="286" y="589"/>
                    </a:lnTo>
                    <a:lnTo>
                      <a:pt x="286" y="589"/>
                    </a:lnTo>
                    <a:lnTo>
                      <a:pt x="286" y="589"/>
                    </a:lnTo>
                    <a:lnTo>
                      <a:pt x="277" y="589"/>
                    </a:lnTo>
                    <a:lnTo>
                      <a:pt x="277" y="589"/>
                    </a:lnTo>
                    <a:lnTo>
                      <a:pt x="277" y="589"/>
                    </a:lnTo>
                    <a:lnTo>
                      <a:pt x="277" y="589"/>
                    </a:lnTo>
                    <a:lnTo>
                      <a:pt x="268" y="589"/>
                    </a:lnTo>
                    <a:lnTo>
                      <a:pt x="268" y="589"/>
                    </a:lnTo>
                    <a:lnTo>
                      <a:pt x="268" y="589"/>
                    </a:lnTo>
                    <a:lnTo>
                      <a:pt x="259" y="589"/>
                    </a:lnTo>
                    <a:lnTo>
                      <a:pt x="259" y="580"/>
                    </a:lnTo>
                    <a:lnTo>
                      <a:pt x="259" y="580"/>
                    </a:lnTo>
                    <a:lnTo>
                      <a:pt x="250" y="580"/>
                    </a:lnTo>
                    <a:lnTo>
                      <a:pt x="250" y="580"/>
                    </a:lnTo>
                    <a:lnTo>
                      <a:pt x="250" y="571"/>
                    </a:lnTo>
                    <a:lnTo>
                      <a:pt x="241" y="571"/>
                    </a:lnTo>
                    <a:lnTo>
                      <a:pt x="241" y="571"/>
                    </a:lnTo>
                    <a:lnTo>
                      <a:pt x="241" y="562"/>
                    </a:lnTo>
                    <a:lnTo>
                      <a:pt x="241" y="562"/>
                    </a:lnTo>
                    <a:lnTo>
                      <a:pt x="232" y="562"/>
                    </a:lnTo>
                    <a:lnTo>
                      <a:pt x="232" y="553"/>
                    </a:lnTo>
                    <a:lnTo>
                      <a:pt x="232" y="553"/>
                    </a:lnTo>
                    <a:lnTo>
                      <a:pt x="232" y="553"/>
                    </a:lnTo>
                    <a:lnTo>
                      <a:pt x="232" y="544"/>
                    </a:lnTo>
                    <a:lnTo>
                      <a:pt x="232" y="544"/>
                    </a:lnTo>
                    <a:lnTo>
                      <a:pt x="232" y="544"/>
                    </a:lnTo>
                    <a:lnTo>
                      <a:pt x="241" y="535"/>
                    </a:lnTo>
                    <a:lnTo>
                      <a:pt x="241" y="535"/>
                    </a:lnTo>
                    <a:lnTo>
                      <a:pt x="241" y="535"/>
                    </a:lnTo>
                    <a:lnTo>
                      <a:pt x="250" y="535"/>
                    </a:lnTo>
                    <a:lnTo>
                      <a:pt x="250" y="535"/>
                    </a:lnTo>
                    <a:lnTo>
                      <a:pt x="250" y="527"/>
                    </a:lnTo>
                    <a:lnTo>
                      <a:pt x="259" y="527"/>
                    </a:lnTo>
                    <a:lnTo>
                      <a:pt x="259" y="527"/>
                    </a:lnTo>
                    <a:lnTo>
                      <a:pt x="259" y="527"/>
                    </a:lnTo>
                    <a:lnTo>
                      <a:pt x="259" y="518"/>
                    </a:lnTo>
                    <a:lnTo>
                      <a:pt x="259" y="518"/>
                    </a:lnTo>
                    <a:lnTo>
                      <a:pt x="259" y="518"/>
                    </a:lnTo>
                    <a:lnTo>
                      <a:pt x="268" y="518"/>
                    </a:lnTo>
                    <a:lnTo>
                      <a:pt x="268" y="518"/>
                    </a:lnTo>
                    <a:lnTo>
                      <a:pt x="268" y="509"/>
                    </a:lnTo>
                    <a:lnTo>
                      <a:pt x="268" y="509"/>
                    </a:lnTo>
                    <a:lnTo>
                      <a:pt x="268" y="500"/>
                    </a:lnTo>
                    <a:lnTo>
                      <a:pt x="268" y="500"/>
                    </a:lnTo>
                    <a:lnTo>
                      <a:pt x="277" y="500"/>
                    </a:lnTo>
                    <a:lnTo>
                      <a:pt x="277" y="491"/>
                    </a:lnTo>
                    <a:lnTo>
                      <a:pt x="277" y="491"/>
                    </a:lnTo>
                    <a:lnTo>
                      <a:pt x="277" y="482"/>
                    </a:lnTo>
                    <a:lnTo>
                      <a:pt x="277" y="482"/>
                    </a:lnTo>
                    <a:lnTo>
                      <a:pt x="277" y="482"/>
                    </a:lnTo>
                    <a:lnTo>
                      <a:pt x="286" y="482"/>
                    </a:lnTo>
                    <a:lnTo>
                      <a:pt x="286" y="473"/>
                    </a:lnTo>
                    <a:lnTo>
                      <a:pt x="286" y="473"/>
                    </a:lnTo>
                    <a:lnTo>
                      <a:pt x="286" y="473"/>
                    </a:lnTo>
                    <a:lnTo>
                      <a:pt x="286" y="473"/>
                    </a:lnTo>
                    <a:lnTo>
                      <a:pt x="286" y="473"/>
                    </a:lnTo>
                    <a:lnTo>
                      <a:pt x="286" y="464"/>
                    </a:lnTo>
                    <a:lnTo>
                      <a:pt x="295" y="464"/>
                    </a:lnTo>
                    <a:lnTo>
                      <a:pt x="295" y="464"/>
                    </a:lnTo>
                    <a:lnTo>
                      <a:pt x="295" y="464"/>
                    </a:lnTo>
                    <a:lnTo>
                      <a:pt x="295" y="455"/>
                    </a:lnTo>
                    <a:lnTo>
                      <a:pt x="295" y="455"/>
                    </a:lnTo>
                    <a:lnTo>
                      <a:pt x="295" y="455"/>
                    </a:lnTo>
                    <a:lnTo>
                      <a:pt x="295" y="446"/>
                    </a:lnTo>
                    <a:lnTo>
                      <a:pt x="295" y="446"/>
                    </a:lnTo>
                    <a:lnTo>
                      <a:pt x="295" y="446"/>
                    </a:lnTo>
                    <a:lnTo>
                      <a:pt x="295" y="446"/>
                    </a:lnTo>
                    <a:lnTo>
                      <a:pt x="295" y="437"/>
                    </a:lnTo>
                    <a:lnTo>
                      <a:pt x="295" y="437"/>
                    </a:lnTo>
                    <a:lnTo>
                      <a:pt x="295" y="437"/>
                    </a:lnTo>
                    <a:lnTo>
                      <a:pt x="295" y="428"/>
                    </a:lnTo>
                    <a:lnTo>
                      <a:pt x="295" y="428"/>
                    </a:lnTo>
                    <a:lnTo>
                      <a:pt x="295" y="428"/>
                    </a:lnTo>
                    <a:lnTo>
                      <a:pt x="295" y="419"/>
                    </a:lnTo>
                    <a:lnTo>
                      <a:pt x="286" y="419"/>
                    </a:lnTo>
                    <a:lnTo>
                      <a:pt x="286" y="419"/>
                    </a:lnTo>
                    <a:lnTo>
                      <a:pt x="286" y="410"/>
                    </a:lnTo>
                    <a:lnTo>
                      <a:pt x="277" y="410"/>
                    </a:lnTo>
                    <a:lnTo>
                      <a:pt x="277" y="410"/>
                    </a:lnTo>
                    <a:lnTo>
                      <a:pt x="277" y="402"/>
                    </a:lnTo>
                    <a:lnTo>
                      <a:pt x="277" y="402"/>
                    </a:lnTo>
                    <a:lnTo>
                      <a:pt x="277" y="402"/>
                    </a:lnTo>
                    <a:lnTo>
                      <a:pt x="277" y="393"/>
                    </a:lnTo>
                    <a:lnTo>
                      <a:pt x="277" y="393"/>
                    </a:lnTo>
                    <a:lnTo>
                      <a:pt x="277" y="384"/>
                    </a:lnTo>
                    <a:lnTo>
                      <a:pt x="277" y="384"/>
                    </a:lnTo>
                    <a:lnTo>
                      <a:pt x="277" y="375"/>
                    </a:lnTo>
                    <a:lnTo>
                      <a:pt x="277" y="375"/>
                    </a:lnTo>
                    <a:lnTo>
                      <a:pt x="277" y="366"/>
                    </a:lnTo>
                    <a:lnTo>
                      <a:pt x="277" y="366"/>
                    </a:lnTo>
                    <a:lnTo>
                      <a:pt x="277" y="357"/>
                    </a:lnTo>
                    <a:lnTo>
                      <a:pt x="277" y="357"/>
                    </a:lnTo>
                    <a:lnTo>
                      <a:pt x="277" y="348"/>
                    </a:lnTo>
                    <a:lnTo>
                      <a:pt x="277" y="339"/>
                    </a:lnTo>
                    <a:lnTo>
                      <a:pt x="277" y="339"/>
                    </a:lnTo>
                    <a:lnTo>
                      <a:pt x="277" y="330"/>
                    </a:lnTo>
                    <a:lnTo>
                      <a:pt x="268" y="330"/>
                    </a:lnTo>
                    <a:lnTo>
                      <a:pt x="268" y="330"/>
                    </a:lnTo>
                    <a:lnTo>
                      <a:pt x="268" y="330"/>
                    </a:lnTo>
                    <a:lnTo>
                      <a:pt x="268" y="330"/>
                    </a:lnTo>
                    <a:lnTo>
                      <a:pt x="259" y="330"/>
                    </a:lnTo>
                    <a:lnTo>
                      <a:pt x="259" y="330"/>
                    </a:lnTo>
                    <a:lnTo>
                      <a:pt x="250" y="330"/>
                    </a:lnTo>
                    <a:lnTo>
                      <a:pt x="250" y="330"/>
                    </a:lnTo>
                    <a:lnTo>
                      <a:pt x="250" y="330"/>
                    </a:lnTo>
                    <a:lnTo>
                      <a:pt x="250" y="321"/>
                    </a:lnTo>
                    <a:lnTo>
                      <a:pt x="250" y="321"/>
                    </a:lnTo>
                    <a:lnTo>
                      <a:pt x="250" y="312"/>
                    </a:lnTo>
                    <a:lnTo>
                      <a:pt x="250" y="312"/>
                    </a:lnTo>
                    <a:lnTo>
                      <a:pt x="250" y="312"/>
                    </a:lnTo>
                    <a:lnTo>
                      <a:pt x="250" y="303"/>
                    </a:lnTo>
                    <a:lnTo>
                      <a:pt x="250" y="303"/>
                    </a:lnTo>
                    <a:lnTo>
                      <a:pt x="250" y="294"/>
                    </a:lnTo>
                    <a:lnTo>
                      <a:pt x="250" y="294"/>
                    </a:lnTo>
                    <a:lnTo>
                      <a:pt x="250" y="294"/>
                    </a:lnTo>
                    <a:lnTo>
                      <a:pt x="250" y="285"/>
                    </a:lnTo>
                    <a:lnTo>
                      <a:pt x="250" y="285"/>
                    </a:lnTo>
                    <a:lnTo>
                      <a:pt x="250" y="285"/>
                    </a:lnTo>
                    <a:lnTo>
                      <a:pt x="250" y="285"/>
                    </a:lnTo>
                    <a:lnTo>
                      <a:pt x="250" y="277"/>
                    </a:lnTo>
                    <a:lnTo>
                      <a:pt x="250" y="277"/>
                    </a:lnTo>
                    <a:lnTo>
                      <a:pt x="250" y="277"/>
                    </a:lnTo>
                    <a:lnTo>
                      <a:pt x="250" y="277"/>
                    </a:lnTo>
                    <a:lnTo>
                      <a:pt x="250" y="268"/>
                    </a:lnTo>
                    <a:lnTo>
                      <a:pt x="241" y="268"/>
                    </a:lnTo>
                    <a:lnTo>
                      <a:pt x="241" y="268"/>
                    </a:lnTo>
                    <a:lnTo>
                      <a:pt x="241" y="268"/>
                    </a:lnTo>
                    <a:lnTo>
                      <a:pt x="241" y="268"/>
                    </a:lnTo>
                    <a:lnTo>
                      <a:pt x="241" y="259"/>
                    </a:lnTo>
                    <a:lnTo>
                      <a:pt x="241" y="259"/>
                    </a:lnTo>
                    <a:lnTo>
                      <a:pt x="241" y="259"/>
                    </a:lnTo>
                    <a:lnTo>
                      <a:pt x="241" y="250"/>
                    </a:lnTo>
                    <a:lnTo>
                      <a:pt x="241" y="250"/>
                    </a:lnTo>
                    <a:lnTo>
                      <a:pt x="241" y="250"/>
                    </a:lnTo>
                    <a:lnTo>
                      <a:pt x="241" y="241"/>
                    </a:lnTo>
                    <a:lnTo>
                      <a:pt x="241" y="241"/>
                    </a:lnTo>
                    <a:lnTo>
                      <a:pt x="241" y="241"/>
                    </a:lnTo>
                    <a:lnTo>
                      <a:pt x="241" y="232"/>
                    </a:lnTo>
                    <a:lnTo>
                      <a:pt x="241" y="232"/>
                    </a:lnTo>
                    <a:lnTo>
                      <a:pt x="241" y="232"/>
                    </a:lnTo>
                    <a:lnTo>
                      <a:pt x="241" y="232"/>
                    </a:lnTo>
                    <a:lnTo>
                      <a:pt x="241" y="232"/>
                    </a:lnTo>
                    <a:lnTo>
                      <a:pt x="241" y="232"/>
                    </a:lnTo>
                    <a:lnTo>
                      <a:pt x="241" y="232"/>
                    </a:lnTo>
                    <a:lnTo>
                      <a:pt x="232" y="232"/>
                    </a:lnTo>
                    <a:lnTo>
                      <a:pt x="232" y="232"/>
                    </a:lnTo>
                    <a:lnTo>
                      <a:pt x="232" y="232"/>
                    </a:lnTo>
                    <a:lnTo>
                      <a:pt x="223" y="232"/>
                    </a:lnTo>
                    <a:lnTo>
                      <a:pt x="223" y="232"/>
                    </a:lnTo>
                    <a:lnTo>
                      <a:pt x="214" y="232"/>
                    </a:lnTo>
                    <a:lnTo>
                      <a:pt x="214" y="232"/>
                    </a:lnTo>
                    <a:lnTo>
                      <a:pt x="205" y="223"/>
                    </a:lnTo>
                    <a:lnTo>
                      <a:pt x="205" y="223"/>
                    </a:lnTo>
                    <a:lnTo>
                      <a:pt x="205" y="223"/>
                    </a:lnTo>
                    <a:lnTo>
                      <a:pt x="196" y="223"/>
                    </a:lnTo>
                    <a:lnTo>
                      <a:pt x="196" y="223"/>
                    </a:lnTo>
                    <a:lnTo>
                      <a:pt x="187" y="223"/>
                    </a:lnTo>
                    <a:lnTo>
                      <a:pt x="187" y="223"/>
                    </a:lnTo>
                    <a:lnTo>
                      <a:pt x="187" y="223"/>
                    </a:lnTo>
                    <a:lnTo>
                      <a:pt x="179" y="223"/>
                    </a:lnTo>
                    <a:lnTo>
                      <a:pt x="179" y="223"/>
                    </a:lnTo>
                    <a:lnTo>
                      <a:pt x="179" y="223"/>
                    </a:lnTo>
                    <a:lnTo>
                      <a:pt x="170" y="214"/>
                    </a:lnTo>
                    <a:lnTo>
                      <a:pt x="170" y="214"/>
                    </a:lnTo>
                    <a:lnTo>
                      <a:pt x="170" y="214"/>
                    </a:lnTo>
                    <a:lnTo>
                      <a:pt x="170" y="214"/>
                    </a:lnTo>
                    <a:lnTo>
                      <a:pt x="170" y="205"/>
                    </a:lnTo>
                    <a:lnTo>
                      <a:pt x="170" y="205"/>
                    </a:lnTo>
                    <a:lnTo>
                      <a:pt x="170" y="205"/>
                    </a:lnTo>
                    <a:lnTo>
                      <a:pt x="170" y="205"/>
                    </a:lnTo>
                    <a:lnTo>
                      <a:pt x="170" y="205"/>
                    </a:lnTo>
                    <a:lnTo>
                      <a:pt x="170" y="196"/>
                    </a:lnTo>
                    <a:lnTo>
                      <a:pt x="161" y="196"/>
                    </a:lnTo>
                    <a:lnTo>
                      <a:pt x="161" y="196"/>
                    </a:lnTo>
                    <a:lnTo>
                      <a:pt x="161" y="196"/>
                    </a:lnTo>
                    <a:lnTo>
                      <a:pt x="161" y="196"/>
                    </a:lnTo>
                    <a:lnTo>
                      <a:pt x="161" y="196"/>
                    </a:lnTo>
                    <a:lnTo>
                      <a:pt x="152" y="196"/>
                    </a:lnTo>
                    <a:lnTo>
                      <a:pt x="152" y="187"/>
                    </a:lnTo>
                    <a:lnTo>
                      <a:pt x="152" y="187"/>
                    </a:lnTo>
                    <a:lnTo>
                      <a:pt x="152" y="187"/>
                    </a:lnTo>
                    <a:lnTo>
                      <a:pt x="143" y="187"/>
                    </a:lnTo>
                    <a:lnTo>
                      <a:pt x="143" y="187"/>
                    </a:lnTo>
                    <a:lnTo>
                      <a:pt x="134" y="187"/>
                    </a:lnTo>
                    <a:lnTo>
                      <a:pt x="134" y="187"/>
                    </a:lnTo>
                    <a:lnTo>
                      <a:pt x="125" y="187"/>
                    </a:lnTo>
                    <a:lnTo>
                      <a:pt x="125" y="187"/>
                    </a:lnTo>
                    <a:lnTo>
                      <a:pt x="116" y="187"/>
                    </a:lnTo>
                    <a:lnTo>
                      <a:pt x="107" y="187"/>
                    </a:lnTo>
                    <a:lnTo>
                      <a:pt x="98" y="187"/>
                    </a:lnTo>
                    <a:lnTo>
                      <a:pt x="89" y="187"/>
                    </a:lnTo>
                    <a:lnTo>
                      <a:pt x="89" y="187"/>
                    </a:lnTo>
                    <a:lnTo>
                      <a:pt x="80" y="187"/>
                    </a:lnTo>
                    <a:lnTo>
                      <a:pt x="71" y="187"/>
                    </a:lnTo>
                    <a:lnTo>
                      <a:pt x="71" y="187"/>
                    </a:lnTo>
                    <a:lnTo>
                      <a:pt x="62" y="187"/>
                    </a:lnTo>
                    <a:lnTo>
                      <a:pt x="53" y="187"/>
                    </a:lnTo>
                    <a:lnTo>
                      <a:pt x="53" y="187"/>
                    </a:lnTo>
                    <a:lnTo>
                      <a:pt x="45" y="187"/>
                    </a:lnTo>
                    <a:lnTo>
                      <a:pt x="45" y="187"/>
                    </a:lnTo>
                    <a:lnTo>
                      <a:pt x="36" y="178"/>
                    </a:lnTo>
                    <a:lnTo>
                      <a:pt x="36" y="178"/>
                    </a:lnTo>
                    <a:lnTo>
                      <a:pt x="36" y="187"/>
                    </a:lnTo>
                    <a:lnTo>
                      <a:pt x="27" y="187"/>
                    </a:lnTo>
                    <a:lnTo>
                      <a:pt x="27" y="187"/>
                    </a:lnTo>
                    <a:lnTo>
                      <a:pt x="27" y="187"/>
                    </a:lnTo>
                    <a:lnTo>
                      <a:pt x="27" y="187"/>
                    </a:lnTo>
                    <a:lnTo>
                      <a:pt x="27" y="187"/>
                    </a:lnTo>
                    <a:lnTo>
                      <a:pt x="18" y="178"/>
                    </a:lnTo>
                    <a:lnTo>
                      <a:pt x="18" y="178"/>
                    </a:lnTo>
                    <a:lnTo>
                      <a:pt x="18" y="178"/>
                    </a:lnTo>
                    <a:lnTo>
                      <a:pt x="18" y="169"/>
                    </a:lnTo>
                    <a:lnTo>
                      <a:pt x="18" y="169"/>
                    </a:lnTo>
                    <a:lnTo>
                      <a:pt x="27" y="169"/>
                    </a:lnTo>
                    <a:lnTo>
                      <a:pt x="27" y="160"/>
                    </a:lnTo>
                    <a:lnTo>
                      <a:pt x="27" y="160"/>
                    </a:lnTo>
                    <a:lnTo>
                      <a:pt x="27" y="152"/>
                    </a:lnTo>
                    <a:lnTo>
                      <a:pt x="27" y="152"/>
                    </a:lnTo>
                    <a:lnTo>
                      <a:pt x="27" y="143"/>
                    </a:lnTo>
                    <a:lnTo>
                      <a:pt x="27" y="134"/>
                    </a:lnTo>
                    <a:lnTo>
                      <a:pt x="27" y="125"/>
                    </a:lnTo>
                    <a:lnTo>
                      <a:pt x="36" y="125"/>
                    </a:lnTo>
                    <a:lnTo>
                      <a:pt x="36" y="116"/>
                    </a:lnTo>
                    <a:lnTo>
                      <a:pt x="36" y="107"/>
                    </a:lnTo>
                    <a:lnTo>
                      <a:pt x="36" y="98"/>
                    </a:lnTo>
                    <a:lnTo>
                      <a:pt x="27" y="98"/>
                    </a:lnTo>
                    <a:lnTo>
                      <a:pt x="27" y="98"/>
                    </a:lnTo>
                    <a:lnTo>
                      <a:pt x="27" y="89"/>
                    </a:lnTo>
                    <a:lnTo>
                      <a:pt x="27" y="89"/>
                    </a:lnTo>
                    <a:lnTo>
                      <a:pt x="18" y="89"/>
                    </a:lnTo>
                    <a:lnTo>
                      <a:pt x="18" y="80"/>
                    </a:lnTo>
                    <a:lnTo>
                      <a:pt x="18" y="80"/>
                    </a:lnTo>
                    <a:lnTo>
                      <a:pt x="9" y="80"/>
                    </a:lnTo>
                    <a:lnTo>
                      <a:pt x="9" y="71"/>
                    </a:lnTo>
                    <a:lnTo>
                      <a:pt x="9" y="71"/>
                    </a:lnTo>
                    <a:lnTo>
                      <a:pt x="0" y="71"/>
                    </a:lnTo>
                    <a:lnTo>
                      <a:pt x="0" y="71"/>
                    </a:lnTo>
                    <a:lnTo>
                      <a:pt x="0" y="62"/>
                    </a:lnTo>
                    <a:lnTo>
                      <a:pt x="0" y="62"/>
                    </a:lnTo>
                    <a:lnTo>
                      <a:pt x="0" y="62"/>
                    </a:lnTo>
                    <a:lnTo>
                      <a:pt x="0" y="53"/>
                    </a:lnTo>
                    <a:lnTo>
                      <a:pt x="0" y="53"/>
                    </a:lnTo>
                    <a:lnTo>
                      <a:pt x="0" y="53"/>
                    </a:lnTo>
                    <a:lnTo>
                      <a:pt x="9" y="53"/>
                    </a:lnTo>
                    <a:lnTo>
                      <a:pt x="9" y="53"/>
                    </a:lnTo>
                    <a:lnTo>
                      <a:pt x="18" y="53"/>
                    </a:lnTo>
                    <a:lnTo>
                      <a:pt x="27" y="53"/>
                    </a:lnTo>
                    <a:lnTo>
                      <a:pt x="27" y="53"/>
                    </a:lnTo>
                    <a:lnTo>
                      <a:pt x="36" y="53"/>
                    </a:lnTo>
                    <a:lnTo>
                      <a:pt x="36" y="44"/>
                    </a:lnTo>
                    <a:lnTo>
                      <a:pt x="36" y="44"/>
                    </a:lnTo>
                    <a:lnTo>
                      <a:pt x="45" y="44"/>
                    </a:lnTo>
                    <a:lnTo>
                      <a:pt x="45" y="44"/>
                    </a:lnTo>
                    <a:lnTo>
                      <a:pt x="53" y="44"/>
                    </a:lnTo>
                    <a:lnTo>
                      <a:pt x="53" y="35"/>
                    </a:lnTo>
                    <a:lnTo>
                      <a:pt x="53" y="35"/>
                    </a:lnTo>
                    <a:lnTo>
                      <a:pt x="62" y="35"/>
                    </a:lnTo>
                    <a:lnTo>
                      <a:pt x="62" y="35"/>
                    </a:lnTo>
                    <a:lnTo>
                      <a:pt x="71" y="35"/>
                    </a:lnTo>
                    <a:lnTo>
                      <a:pt x="71" y="27"/>
                    </a:lnTo>
                    <a:lnTo>
                      <a:pt x="80" y="27"/>
                    </a:lnTo>
                    <a:lnTo>
                      <a:pt x="80" y="27"/>
                    </a:lnTo>
                    <a:lnTo>
                      <a:pt x="89" y="27"/>
                    </a:lnTo>
                    <a:lnTo>
                      <a:pt x="89" y="27"/>
                    </a:lnTo>
                    <a:lnTo>
                      <a:pt x="89" y="27"/>
                    </a:lnTo>
                    <a:lnTo>
                      <a:pt x="98" y="27"/>
                    </a:lnTo>
                    <a:lnTo>
                      <a:pt x="98" y="27"/>
                    </a:lnTo>
                    <a:lnTo>
                      <a:pt x="107" y="27"/>
                    </a:lnTo>
                    <a:lnTo>
                      <a:pt x="107" y="27"/>
                    </a:lnTo>
                    <a:lnTo>
                      <a:pt x="107" y="27"/>
                    </a:lnTo>
                    <a:lnTo>
                      <a:pt x="116" y="27"/>
                    </a:lnTo>
                    <a:lnTo>
                      <a:pt x="116" y="27"/>
                    </a:lnTo>
                    <a:lnTo>
                      <a:pt x="116" y="18"/>
                    </a:lnTo>
                    <a:lnTo>
                      <a:pt x="116" y="27"/>
                    </a:lnTo>
                    <a:lnTo>
                      <a:pt x="116" y="27"/>
                    </a:lnTo>
                    <a:lnTo>
                      <a:pt x="125" y="27"/>
                    </a:lnTo>
                    <a:lnTo>
                      <a:pt x="125" y="27"/>
                    </a:lnTo>
                    <a:lnTo>
                      <a:pt x="125" y="27"/>
                    </a:lnTo>
                    <a:lnTo>
                      <a:pt x="134" y="35"/>
                    </a:lnTo>
                    <a:lnTo>
                      <a:pt x="134" y="35"/>
                    </a:lnTo>
                    <a:lnTo>
                      <a:pt x="134" y="35"/>
                    </a:lnTo>
                    <a:lnTo>
                      <a:pt x="134" y="35"/>
                    </a:lnTo>
                    <a:lnTo>
                      <a:pt x="134" y="35"/>
                    </a:lnTo>
                    <a:lnTo>
                      <a:pt x="134" y="35"/>
                    </a:lnTo>
                    <a:lnTo>
                      <a:pt x="143" y="35"/>
                    </a:lnTo>
                    <a:lnTo>
                      <a:pt x="143" y="35"/>
                    </a:lnTo>
                    <a:lnTo>
                      <a:pt x="143" y="44"/>
                    </a:lnTo>
                    <a:lnTo>
                      <a:pt x="143" y="44"/>
                    </a:lnTo>
                    <a:lnTo>
                      <a:pt x="143" y="44"/>
                    </a:lnTo>
                    <a:lnTo>
                      <a:pt x="152" y="44"/>
                    </a:lnTo>
                    <a:lnTo>
                      <a:pt x="152" y="44"/>
                    </a:lnTo>
                    <a:lnTo>
                      <a:pt x="152" y="44"/>
                    </a:lnTo>
                    <a:lnTo>
                      <a:pt x="161" y="44"/>
                    </a:lnTo>
                    <a:lnTo>
                      <a:pt x="161" y="44"/>
                    </a:lnTo>
                    <a:lnTo>
                      <a:pt x="161" y="44"/>
                    </a:lnTo>
                    <a:lnTo>
                      <a:pt x="161" y="44"/>
                    </a:lnTo>
                    <a:lnTo>
                      <a:pt x="170" y="44"/>
                    </a:lnTo>
                    <a:lnTo>
                      <a:pt x="170" y="44"/>
                    </a:lnTo>
                    <a:lnTo>
                      <a:pt x="170" y="44"/>
                    </a:lnTo>
                    <a:lnTo>
                      <a:pt x="170" y="35"/>
                    </a:lnTo>
                    <a:lnTo>
                      <a:pt x="170" y="35"/>
                    </a:lnTo>
                    <a:lnTo>
                      <a:pt x="170" y="35"/>
                    </a:lnTo>
                    <a:lnTo>
                      <a:pt x="170" y="35"/>
                    </a:lnTo>
                    <a:lnTo>
                      <a:pt x="179" y="35"/>
                    </a:lnTo>
                    <a:lnTo>
                      <a:pt x="179" y="35"/>
                    </a:lnTo>
                    <a:lnTo>
                      <a:pt x="179" y="35"/>
                    </a:lnTo>
                    <a:lnTo>
                      <a:pt x="179" y="35"/>
                    </a:lnTo>
                    <a:lnTo>
                      <a:pt x="179" y="35"/>
                    </a:lnTo>
                    <a:lnTo>
                      <a:pt x="179" y="35"/>
                    </a:lnTo>
                    <a:lnTo>
                      <a:pt x="179" y="27"/>
                    </a:lnTo>
                    <a:lnTo>
                      <a:pt x="179" y="27"/>
                    </a:lnTo>
                    <a:lnTo>
                      <a:pt x="179" y="27"/>
                    </a:lnTo>
                    <a:lnTo>
                      <a:pt x="179" y="27"/>
                    </a:lnTo>
                    <a:lnTo>
                      <a:pt x="187" y="27"/>
                    </a:lnTo>
                    <a:lnTo>
                      <a:pt x="187" y="27"/>
                    </a:lnTo>
                    <a:lnTo>
                      <a:pt x="187" y="27"/>
                    </a:lnTo>
                    <a:lnTo>
                      <a:pt x="196" y="27"/>
                    </a:lnTo>
                    <a:lnTo>
                      <a:pt x="196" y="27"/>
                    </a:lnTo>
                    <a:lnTo>
                      <a:pt x="196" y="27"/>
                    </a:lnTo>
                    <a:lnTo>
                      <a:pt x="205" y="27"/>
                    </a:lnTo>
                    <a:lnTo>
                      <a:pt x="205" y="27"/>
                    </a:lnTo>
                    <a:lnTo>
                      <a:pt x="205" y="27"/>
                    </a:lnTo>
                    <a:lnTo>
                      <a:pt x="205" y="27"/>
                    </a:lnTo>
                    <a:lnTo>
                      <a:pt x="205" y="27"/>
                    </a:lnTo>
                    <a:lnTo>
                      <a:pt x="205" y="27"/>
                    </a:lnTo>
                    <a:lnTo>
                      <a:pt x="214" y="27"/>
                    </a:lnTo>
                    <a:lnTo>
                      <a:pt x="214" y="27"/>
                    </a:lnTo>
                    <a:lnTo>
                      <a:pt x="214" y="27"/>
                    </a:lnTo>
                    <a:lnTo>
                      <a:pt x="214" y="27"/>
                    </a:lnTo>
                    <a:lnTo>
                      <a:pt x="214" y="35"/>
                    </a:lnTo>
                    <a:lnTo>
                      <a:pt x="214" y="35"/>
                    </a:lnTo>
                    <a:lnTo>
                      <a:pt x="214" y="35"/>
                    </a:lnTo>
                    <a:lnTo>
                      <a:pt x="214" y="44"/>
                    </a:lnTo>
                    <a:lnTo>
                      <a:pt x="214" y="44"/>
                    </a:lnTo>
                    <a:lnTo>
                      <a:pt x="214" y="44"/>
                    </a:lnTo>
                    <a:lnTo>
                      <a:pt x="214" y="44"/>
                    </a:lnTo>
                    <a:lnTo>
                      <a:pt x="214" y="53"/>
                    </a:lnTo>
                    <a:lnTo>
                      <a:pt x="223" y="53"/>
                    </a:lnTo>
                    <a:lnTo>
                      <a:pt x="223" y="53"/>
                    </a:lnTo>
                    <a:lnTo>
                      <a:pt x="223" y="53"/>
                    </a:lnTo>
                    <a:lnTo>
                      <a:pt x="232" y="53"/>
                    </a:lnTo>
                    <a:lnTo>
                      <a:pt x="232" y="53"/>
                    </a:lnTo>
                    <a:lnTo>
                      <a:pt x="232" y="53"/>
                    </a:lnTo>
                    <a:lnTo>
                      <a:pt x="241" y="53"/>
                    </a:lnTo>
                    <a:lnTo>
                      <a:pt x="241" y="53"/>
                    </a:lnTo>
                    <a:lnTo>
                      <a:pt x="241" y="53"/>
                    </a:lnTo>
                    <a:lnTo>
                      <a:pt x="250" y="62"/>
                    </a:lnTo>
                    <a:lnTo>
                      <a:pt x="250" y="62"/>
                    </a:lnTo>
                    <a:lnTo>
                      <a:pt x="250" y="62"/>
                    </a:lnTo>
                    <a:lnTo>
                      <a:pt x="250" y="62"/>
                    </a:lnTo>
                    <a:lnTo>
                      <a:pt x="259" y="62"/>
                    </a:lnTo>
                    <a:lnTo>
                      <a:pt x="259" y="62"/>
                    </a:lnTo>
                    <a:lnTo>
                      <a:pt x="259" y="62"/>
                    </a:lnTo>
                    <a:lnTo>
                      <a:pt x="259" y="62"/>
                    </a:lnTo>
                    <a:lnTo>
                      <a:pt x="259" y="62"/>
                    </a:lnTo>
                    <a:lnTo>
                      <a:pt x="268" y="62"/>
                    </a:lnTo>
                    <a:lnTo>
                      <a:pt x="268" y="62"/>
                    </a:lnTo>
                    <a:lnTo>
                      <a:pt x="268" y="62"/>
                    </a:lnTo>
                    <a:lnTo>
                      <a:pt x="268" y="62"/>
                    </a:lnTo>
                    <a:lnTo>
                      <a:pt x="268" y="62"/>
                    </a:lnTo>
                    <a:lnTo>
                      <a:pt x="268" y="62"/>
                    </a:lnTo>
                    <a:lnTo>
                      <a:pt x="268" y="53"/>
                    </a:lnTo>
                    <a:lnTo>
                      <a:pt x="268" y="53"/>
                    </a:lnTo>
                    <a:lnTo>
                      <a:pt x="268" y="53"/>
                    </a:lnTo>
                    <a:lnTo>
                      <a:pt x="268" y="44"/>
                    </a:lnTo>
                    <a:lnTo>
                      <a:pt x="268" y="44"/>
                    </a:lnTo>
                    <a:lnTo>
                      <a:pt x="268" y="44"/>
                    </a:lnTo>
                    <a:lnTo>
                      <a:pt x="268" y="44"/>
                    </a:lnTo>
                    <a:lnTo>
                      <a:pt x="268" y="35"/>
                    </a:lnTo>
                    <a:lnTo>
                      <a:pt x="268" y="35"/>
                    </a:lnTo>
                    <a:lnTo>
                      <a:pt x="268" y="35"/>
                    </a:lnTo>
                    <a:lnTo>
                      <a:pt x="268" y="35"/>
                    </a:lnTo>
                    <a:lnTo>
                      <a:pt x="268" y="27"/>
                    </a:lnTo>
                    <a:lnTo>
                      <a:pt x="268" y="27"/>
                    </a:lnTo>
                    <a:lnTo>
                      <a:pt x="268" y="27"/>
                    </a:lnTo>
                    <a:lnTo>
                      <a:pt x="268" y="27"/>
                    </a:lnTo>
                    <a:lnTo>
                      <a:pt x="268" y="18"/>
                    </a:lnTo>
                    <a:lnTo>
                      <a:pt x="268" y="18"/>
                    </a:lnTo>
                    <a:lnTo>
                      <a:pt x="277" y="18"/>
                    </a:lnTo>
                    <a:lnTo>
                      <a:pt x="277" y="18"/>
                    </a:lnTo>
                    <a:lnTo>
                      <a:pt x="277" y="18"/>
                    </a:lnTo>
                    <a:lnTo>
                      <a:pt x="277" y="9"/>
                    </a:lnTo>
                    <a:lnTo>
                      <a:pt x="277" y="9"/>
                    </a:lnTo>
                    <a:lnTo>
                      <a:pt x="277" y="9"/>
                    </a:lnTo>
                    <a:lnTo>
                      <a:pt x="286" y="9"/>
                    </a:lnTo>
                    <a:lnTo>
                      <a:pt x="286" y="9"/>
                    </a:lnTo>
                    <a:lnTo>
                      <a:pt x="286" y="9"/>
                    </a:lnTo>
                    <a:lnTo>
                      <a:pt x="286" y="9"/>
                    </a:lnTo>
                    <a:lnTo>
                      <a:pt x="286" y="9"/>
                    </a:lnTo>
                    <a:lnTo>
                      <a:pt x="295" y="9"/>
                    </a:lnTo>
                    <a:lnTo>
                      <a:pt x="295" y="0"/>
                    </a:lnTo>
                    <a:lnTo>
                      <a:pt x="295" y="0"/>
                    </a:lnTo>
                    <a:lnTo>
                      <a:pt x="295" y="0"/>
                    </a:lnTo>
                    <a:lnTo>
                      <a:pt x="304" y="0"/>
                    </a:lnTo>
                    <a:lnTo>
                      <a:pt x="304" y="9"/>
                    </a:lnTo>
                    <a:lnTo>
                      <a:pt x="304" y="9"/>
                    </a:lnTo>
                    <a:lnTo>
                      <a:pt x="304" y="9"/>
                    </a:lnTo>
                    <a:lnTo>
                      <a:pt x="312" y="9"/>
                    </a:lnTo>
                    <a:lnTo>
                      <a:pt x="312" y="9"/>
                    </a:lnTo>
                    <a:lnTo>
                      <a:pt x="312" y="9"/>
                    </a:lnTo>
                    <a:lnTo>
                      <a:pt x="312" y="9"/>
                    </a:lnTo>
                    <a:lnTo>
                      <a:pt x="312" y="18"/>
                    </a:lnTo>
                    <a:lnTo>
                      <a:pt x="312" y="18"/>
                    </a:lnTo>
                    <a:lnTo>
                      <a:pt x="312" y="18"/>
                    </a:lnTo>
                    <a:lnTo>
                      <a:pt x="312" y="18"/>
                    </a:lnTo>
                    <a:lnTo>
                      <a:pt x="312" y="18"/>
                    </a:lnTo>
                    <a:lnTo>
                      <a:pt x="312" y="18"/>
                    </a:lnTo>
                    <a:lnTo>
                      <a:pt x="312" y="27"/>
                    </a:lnTo>
                    <a:lnTo>
                      <a:pt x="312" y="27"/>
                    </a:lnTo>
                    <a:lnTo>
                      <a:pt x="321" y="27"/>
                    </a:lnTo>
                    <a:lnTo>
                      <a:pt x="321" y="18"/>
                    </a:lnTo>
                    <a:lnTo>
                      <a:pt x="321" y="18"/>
                    </a:lnTo>
                    <a:lnTo>
                      <a:pt x="330" y="18"/>
                    </a:lnTo>
                    <a:lnTo>
                      <a:pt x="330" y="18"/>
                    </a:lnTo>
                    <a:lnTo>
                      <a:pt x="330" y="18"/>
                    </a:lnTo>
                    <a:lnTo>
                      <a:pt x="330" y="9"/>
                    </a:lnTo>
                    <a:lnTo>
                      <a:pt x="339" y="9"/>
                    </a:lnTo>
                    <a:lnTo>
                      <a:pt x="339" y="9"/>
                    </a:lnTo>
                    <a:lnTo>
                      <a:pt x="339" y="9"/>
                    </a:lnTo>
                    <a:lnTo>
                      <a:pt x="339" y="9"/>
                    </a:lnTo>
                    <a:lnTo>
                      <a:pt x="339" y="9"/>
                    </a:lnTo>
                    <a:lnTo>
                      <a:pt x="348" y="9"/>
                    </a:lnTo>
                    <a:lnTo>
                      <a:pt x="348" y="9"/>
                    </a:lnTo>
                    <a:lnTo>
                      <a:pt x="348" y="9"/>
                    </a:lnTo>
                    <a:lnTo>
                      <a:pt x="348" y="9"/>
                    </a:lnTo>
                    <a:lnTo>
                      <a:pt x="348" y="18"/>
                    </a:lnTo>
                    <a:lnTo>
                      <a:pt x="348" y="18"/>
                    </a:lnTo>
                    <a:lnTo>
                      <a:pt x="348" y="18"/>
                    </a:lnTo>
                    <a:lnTo>
                      <a:pt x="348" y="27"/>
                    </a:lnTo>
                    <a:lnTo>
                      <a:pt x="348" y="27"/>
                    </a:lnTo>
                    <a:lnTo>
                      <a:pt x="348" y="27"/>
                    </a:lnTo>
                    <a:lnTo>
                      <a:pt x="348" y="27"/>
                    </a:lnTo>
                    <a:lnTo>
                      <a:pt x="348" y="35"/>
                    </a:lnTo>
                    <a:lnTo>
                      <a:pt x="348" y="35"/>
                    </a:lnTo>
                    <a:lnTo>
                      <a:pt x="348" y="35"/>
                    </a:lnTo>
                    <a:lnTo>
                      <a:pt x="348" y="44"/>
                    </a:lnTo>
                    <a:lnTo>
                      <a:pt x="348" y="44"/>
                    </a:lnTo>
                    <a:lnTo>
                      <a:pt x="348" y="44"/>
                    </a:lnTo>
                    <a:lnTo>
                      <a:pt x="348" y="44"/>
                    </a:lnTo>
                    <a:lnTo>
                      <a:pt x="348" y="53"/>
                    </a:lnTo>
                    <a:lnTo>
                      <a:pt x="348" y="53"/>
                    </a:lnTo>
                    <a:lnTo>
                      <a:pt x="348" y="53"/>
                    </a:lnTo>
                    <a:lnTo>
                      <a:pt x="348" y="62"/>
                    </a:lnTo>
                    <a:lnTo>
                      <a:pt x="357" y="62"/>
                    </a:lnTo>
                    <a:lnTo>
                      <a:pt x="357" y="62"/>
                    </a:lnTo>
                    <a:lnTo>
                      <a:pt x="357" y="62"/>
                    </a:lnTo>
                    <a:lnTo>
                      <a:pt x="357" y="71"/>
                    </a:lnTo>
                    <a:lnTo>
                      <a:pt x="357" y="71"/>
                    </a:lnTo>
                    <a:lnTo>
                      <a:pt x="357" y="71"/>
                    </a:lnTo>
                    <a:lnTo>
                      <a:pt x="357" y="71"/>
                    </a:lnTo>
                    <a:lnTo>
                      <a:pt x="357" y="71"/>
                    </a:lnTo>
                    <a:lnTo>
                      <a:pt x="357" y="80"/>
                    </a:lnTo>
                    <a:lnTo>
                      <a:pt x="366" y="80"/>
                    </a:lnTo>
                    <a:lnTo>
                      <a:pt x="366" y="80"/>
                    </a:lnTo>
                    <a:lnTo>
                      <a:pt x="366" y="80"/>
                    </a:lnTo>
                    <a:lnTo>
                      <a:pt x="366" y="80"/>
                    </a:lnTo>
                    <a:lnTo>
                      <a:pt x="366" y="80"/>
                    </a:lnTo>
                    <a:lnTo>
                      <a:pt x="375" y="80"/>
                    </a:lnTo>
                    <a:lnTo>
                      <a:pt x="375" y="80"/>
                    </a:lnTo>
                    <a:lnTo>
                      <a:pt x="375" y="80"/>
                    </a:lnTo>
                    <a:lnTo>
                      <a:pt x="375" y="80"/>
                    </a:lnTo>
                    <a:lnTo>
                      <a:pt x="384" y="80"/>
                    </a:lnTo>
                    <a:lnTo>
                      <a:pt x="384" y="80"/>
                    </a:lnTo>
                    <a:lnTo>
                      <a:pt x="384" y="80"/>
                    </a:lnTo>
                    <a:lnTo>
                      <a:pt x="393" y="80"/>
                    </a:lnTo>
                    <a:lnTo>
                      <a:pt x="393" y="80"/>
                    </a:lnTo>
                    <a:lnTo>
                      <a:pt x="393" y="80"/>
                    </a:lnTo>
                    <a:lnTo>
                      <a:pt x="393" y="80"/>
                    </a:lnTo>
                    <a:lnTo>
                      <a:pt x="393" y="80"/>
                    </a:lnTo>
                    <a:lnTo>
                      <a:pt x="393" y="80"/>
                    </a:lnTo>
                    <a:lnTo>
                      <a:pt x="402" y="80"/>
                    </a:lnTo>
                    <a:lnTo>
                      <a:pt x="402" y="80"/>
                    </a:lnTo>
                    <a:lnTo>
                      <a:pt x="402" y="71"/>
                    </a:lnTo>
                    <a:lnTo>
                      <a:pt x="402" y="71"/>
                    </a:lnTo>
                    <a:lnTo>
                      <a:pt x="402" y="71"/>
                    </a:lnTo>
                    <a:lnTo>
                      <a:pt x="402" y="71"/>
                    </a:lnTo>
                    <a:lnTo>
                      <a:pt x="411" y="71"/>
                    </a:lnTo>
                    <a:lnTo>
                      <a:pt x="411" y="71"/>
                    </a:lnTo>
                    <a:lnTo>
                      <a:pt x="411" y="71"/>
                    </a:lnTo>
                    <a:lnTo>
                      <a:pt x="411" y="71"/>
                    </a:lnTo>
                    <a:lnTo>
                      <a:pt x="411" y="71"/>
                    </a:lnTo>
                    <a:lnTo>
                      <a:pt x="420" y="71"/>
                    </a:lnTo>
                    <a:lnTo>
                      <a:pt x="420" y="71"/>
                    </a:lnTo>
                    <a:lnTo>
                      <a:pt x="420" y="71"/>
                    </a:lnTo>
                    <a:lnTo>
                      <a:pt x="429" y="71"/>
                    </a:lnTo>
                    <a:lnTo>
                      <a:pt x="429" y="71"/>
                    </a:lnTo>
                    <a:lnTo>
                      <a:pt x="429" y="71"/>
                    </a:lnTo>
                    <a:lnTo>
                      <a:pt x="438" y="71"/>
                    </a:lnTo>
                    <a:lnTo>
                      <a:pt x="438" y="71"/>
                    </a:lnTo>
                    <a:lnTo>
                      <a:pt x="438" y="71"/>
                    </a:lnTo>
                    <a:lnTo>
                      <a:pt x="438" y="62"/>
                    </a:lnTo>
                    <a:lnTo>
                      <a:pt x="438" y="62"/>
                    </a:lnTo>
                    <a:lnTo>
                      <a:pt x="446" y="62"/>
                    </a:lnTo>
                    <a:lnTo>
                      <a:pt x="446" y="62"/>
                    </a:lnTo>
                    <a:lnTo>
                      <a:pt x="446" y="62"/>
                    </a:lnTo>
                    <a:lnTo>
                      <a:pt x="446" y="62"/>
                    </a:lnTo>
                    <a:lnTo>
                      <a:pt x="446" y="62"/>
                    </a:lnTo>
                    <a:lnTo>
                      <a:pt x="446" y="62"/>
                    </a:lnTo>
                    <a:lnTo>
                      <a:pt x="455" y="62"/>
                    </a:lnTo>
                    <a:lnTo>
                      <a:pt x="455" y="62"/>
                    </a:lnTo>
                    <a:lnTo>
                      <a:pt x="455" y="62"/>
                    </a:lnTo>
                    <a:lnTo>
                      <a:pt x="455" y="62"/>
                    </a:lnTo>
                    <a:lnTo>
                      <a:pt x="464" y="62"/>
                    </a:lnTo>
                    <a:lnTo>
                      <a:pt x="464" y="62"/>
                    </a:lnTo>
                    <a:lnTo>
                      <a:pt x="464" y="62"/>
                    </a:lnTo>
                    <a:lnTo>
                      <a:pt x="464" y="62"/>
                    </a:lnTo>
                    <a:lnTo>
                      <a:pt x="464" y="62"/>
                    </a:lnTo>
                    <a:lnTo>
                      <a:pt x="473" y="62"/>
                    </a:lnTo>
                    <a:lnTo>
                      <a:pt x="473" y="62"/>
                    </a:lnTo>
                    <a:lnTo>
                      <a:pt x="473" y="62"/>
                    </a:lnTo>
                    <a:lnTo>
                      <a:pt x="473" y="62"/>
                    </a:lnTo>
                    <a:lnTo>
                      <a:pt x="482" y="62"/>
                    </a:lnTo>
                    <a:lnTo>
                      <a:pt x="482" y="62"/>
                    </a:lnTo>
                    <a:lnTo>
                      <a:pt x="482" y="62"/>
                    </a:lnTo>
                    <a:lnTo>
                      <a:pt x="482" y="62"/>
                    </a:lnTo>
                    <a:lnTo>
                      <a:pt x="491" y="62"/>
                    </a:lnTo>
                    <a:lnTo>
                      <a:pt x="491" y="71"/>
                    </a:lnTo>
                    <a:lnTo>
                      <a:pt x="491" y="71"/>
                    </a:lnTo>
                    <a:lnTo>
                      <a:pt x="491" y="71"/>
                    </a:lnTo>
                    <a:lnTo>
                      <a:pt x="500" y="71"/>
                    </a:lnTo>
                    <a:lnTo>
                      <a:pt x="500" y="71"/>
                    </a:lnTo>
                    <a:lnTo>
                      <a:pt x="500" y="71"/>
                    </a:lnTo>
                    <a:lnTo>
                      <a:pt x="500" y="71"/>
                    </a:lnTo>
                    <a:lnTo>
                      <a:pt x="500" y="71"/>
                    </a:lnTo>
                    <a:lnTo>
                      <a:pt x="500" y="71"/>
                    </a:lnTo>
                    <a:lnTo>
                      <a:pt x="509" y="80"/>
                    </a:lnTo>
                    <a:lnTo>
                      <a:pt x="509" y="80"/>
                    </a:lnTo>
                    <a:lnTo>
                      <a:pt x="509" y="80"/>
                    </a:lnTo>
                    <a:lnTo>
                      <a:pt x="509" y="80"/>
                    </a:lnTo>
                    <a:lnTo>
                      <a:pt x="509" y="80"/>
                    </a:lnTo>
                    <a:lnTo>
                      <a:pt x="509" y="80"/>
                    </a:lnTo>
                    <a:lnTo>
                      <a:pt x="518" y="80"/>
                    </a:lnTo>
                    <a:lnTo>
                      <a:pt x="518" y="80"/>
                    </a:lnTo>
                    <a:lnTo>
                      <a:pt x="518" y="80"/>
                    </a:lnTo>
                    <a:lnTo>
                      <a:pt x="518" y="80"/>
                    </a:lnTo>
                    <a:lnTo>
                      <a:pt x="518" y="80"/>
                    </a:lnTo>
                    <a:lnTo>
                      <a:pt x="518" y="80"/>
                    </a:lnTo>
                    <a:lnTo>
                      <a:pt x="518" y="80"/>
                    </a:lnTo>
                    <a:lnTo>
                      <a:pt x="527" y="80"/>
                    </a:lnTo>
                    <a:lnTo>
                      <a:pt x="527" y="80"/>
                    </a:lnTo>
                    <a:lnTo>
                      <a:pt x="527" y="80"/>
                    </a:lnTo>
                    <a:lnTo>
                      <a:pt x="527" y="80"/>
                    </a:lnTo>
                    <a:lnTo>
                      <a:pt x="527" y="80"/>
                    </a:lnTo>
                    <a:lnTo>
                      <a:pt x="527" y="80"/>
                    </a:lnTo>
                    <a:lnTo>
                      <a:pt x="536" y="80"/>
                    </a:lnTo>
                    <a:lnTo>
                      <a:pt x="536" y="89"/>
                    </a:lnTo>
                    <a:lnTo>
                      <a:pt x="536" y="89"/>
                    </a:lnTo>
                    <a:lnTo>
                      <a:pt x="536" y="89"/>
                    </a:lnTo>
                    <a:lnTo>
                      <a:pt x="536" y="98"/>
                    </a:lnTo>
                    <a:lnTo>
                      <a:pt x="536" y="98"/>
                    </a:lnTo>
                    <a:lnTo>
                      <a:pt x="536" y="107"/>
                    </a:lnTo>
                    <a:lnTo>
                      <a:pt x="536" y="107"/>
                    </a:lnTo>
                    <a:lnTo>
                      <a:pt x="536" y="107"/>
                    </a:lnTo>
                    <a:lnTo>
                      <a:pt x="536" y="116"/>
                    </a:lnTo>
                    <a:lnTo>
                      <a:pt x="536" y="116"/>
                    </a:lnTo>
                    <a:lnTo>
                      <a:pt x="536" y="116"/>
                    </a:lnTo>
                    <a:lnTo>
                      <a:pt x="536" y="125"/>
                    </a:lnTo>
                    <a:lnTo>
                      <a:pt x="536" y="125"/>
                    </a:lnTo>
                    <a:lnTo>
                      <a:pt x="536" y="125"/>
                    </a:lnTo>
                    <a:lnTo>
                      <a:pt x="536" y="125"/>
                    </a:lnTo>
                    <a:lnTo>
                      <a:pt x="545" y="134"/>
                    </a:lnTo>
                    <a:lnTo>
                      <a:pt x="545" y="134"/>
                    </a:lnTo>
                    <a:lnTo>
                      <a:pt x="545" y="134"/>
                    </a:lnTo>
                    <a:lnTo>
                      <a:pt x="545" y="143"/>
                    </a:lnTo>
                    <a:lnTo>
                      <a:pt x="545" y="143"/>
                    </a:lnTo>
                    <a:lnTo>
                      <a:pt x="545" y="143"/>
                    </a:lnTo>
                    <a:lnTo>
                      <a:pt x="545" y="152"/>
                    </a:lnTo>
                    <a:lnTo>
                      <a:pt x="545" y="152"/>
                    </a:lnTo>
                    <a:lnTo>
                      <a:pt x="545" y="152"/>
                    </a:lnTo>
                    <a:lnTo>
                      <a:pt x="554" y="152"/>
                    </a:lnTo>
                    <a:lnTo>
                      <a:pt x="554" y="152"/>
                    </a:lnTo>
                    <a:lnTo>
                      <a:pt x="554" y="160"/>
                    </a:lnTo>
                    <a:lnTo>
                      <a:pt x="554" y="160"/>
                    </a:lnTo>
                    <a:lnTo>
                      <a:pt x="563" y="160"/>
                    </a:lnTo>
                    <a:lnTo>
                      <a:pt x="563" y="160"/>
                    </a:lnTo>
                    <a:lnTo>
                      <a:pt x="563" y="160"/>
                    </a:lnTo>
                    <a:lnTo>
                      <a:pt x="572" y="160"/>
                    </a:lnTo>
                    <a:lnTo>
                      <a:pt x="572" y="160"/>
                    </a:lnTo>
                    <a:lnTo>
                      <a:pt x="580" y="160"/>
                    </a:lnTo>
                    <a:lnTo>
                      <a:pt x="580" y="160"/>
                    </a:lnTo>
                    <a:lnTo>
                      <a:pt x="580" y="160"/>
                    </a:lnTo>
                    <a:lnTo>
                      <a:pt x="589" y="160"/>
                    </a:lnTo>
                    <a:lnTo>
                      <a:pt x="589" y="160"/>
                    </a:lnTo>
                    <a:lnTo>
                      <a:pt x="598" y="160"/>
                    </a:lnTo>
                    <a:lnTo>
                      <a:pt x="598" y="160"/>
                    </a:lnTo>
                    <a:lnTo>
                      <a:pt x="607" y="160"/>
                    </a:lnTo>
                    <a:lnTo>
                      <a:pt x="607" y="160"/>
                    </a:lnTo>
                    <a:lnTo>
                      <a:pt x="607" y="160"/>
                    </a:lnTo>
                    <a:lnTo>
                      <a:pt x="607" y="160"/>
                    </a:lnTo>
                    <a:lnTo>
                      <a:pt x="616" y="160"/>
                    </a:lnTo>
                    <a:lnTo>
                      <a:pt x="616" y="160"/>
                    </a:lnTo>
                    <a:lnTo>
                      <a:pt x="616" y="160"/>
                    </a:lnTo>
                    <a:lnTo>
                      <a:pt x="625" y="152"/>
                    </a:lnTo>
                    <a:lnTo>
                      <a:pt x="625" y="152"/>
                    </a:lnTo>
                    <a:lnTo>
                      <a:pt x="625" y="152"/>
                    </a:lnTo>
                    <a:lnTo>
                      <a:pt x="634" y="152"/>
                    </a:lnTo>
                    <a:lnTo>
                      <a:pt x="634" y="152"/>
                    </a:lnTo>
                    <a:lnTo>
                      <a:pt x="634" y="152"/>
                    </a:lnTo>
                    <a:lnTo>
                      <a:pt x="643" y="152"/>
                    </a:lnTo>
                    <a:lnTo>
                      <a:pt x="643" y="152"/>
                    </a:lnTo>
                    <a:lnTo>
                      <a:pt x="652" y="152"/>
                    </a:lnTo>
                    <a:lnTo>
                      <a:pt x="652" y="143"/>
                    </a:lnTo>
                    <a:lnTo>
                      <a:pt x="652" y="143"/>
                    </a:lnTo>
                    <a:lnTo>
                      <a:pt x="652" y="143"/>
                    </a:lnTo>
                    <a:lnTo>
                      <a:pt x="652" y="143"/>
                    </a:lnTo>
                    <a:lnTo>
                      <a:pt x="652" y="143"/>
                    </a:lnTo>
                    <a:lnTo>
                      <a:pt x="652" y="143"/>
                    </a:lnTo>
                    <a:lnTo>
                      <a:pt x="652" y="134"/>
                    </a:lnTo>
                    <a:lnTo>
                      <a:pt x="661" y="134"/>
                    </a:lnTo>
                    <a:lnTo>
                      <a:pt x="661" y="143"/>
                    </a:lnTo>
                    <a:lnTo>
                      <a:pt x="661" y="143"/>
                    </a:lnTo>
                    <a:lnTo>
                      <a:pt x="661" y="143"/>
                    </a:lnTo>
                    <a:lnTo>
                      <a:pt x="661" y="143"/>
                    </a:lnTo>
                    <a:lnTo>
                      <a:pt x="661" y="152"/>
                    </a:lnTo>
                    <a:lnTo>
                      <a:pt x="661" y="152"/>
                    </a:lnTo>
                    <a:lnTo>
                      <a:pt x="661" y="152"/>
                    </a:lnTo>
                    <a:lnTo>
                      <a:pt x="661" y="152"/>
                    </a:lnTo>
                    <a:lnTo>
                      <a:pt x="661" y="160"/>
                    </a:lnTo>
                    <a:lnTo>
                      <a:pt x="670" y="160"/>
                    </a:lnTo>
                    <a:lnTo>
                      <a:pt x="670" y="160"/>
                    </a:lnTo>
                    <a:lnTo>
                      <a:pt x="670" y="169"/>
                    </a:lnTo>
                    <a:lnTo>
                      <a:pt x="670" y="169"/>
                    </a:lnTo>
                    <a:lnTo>
                      <a:pt x="670" y="178"/>
                    </a:lnTo>
                    <a:lnTo>
                      <a:pt x="670" y="178"/>
                    </a:lnTo>
                    <a:lnTo>
                      <a:pt x="670" y="178"/>
                    </a:lnTo>
                    <a:lnTo>
                      <a:pt x="670" y="178"/>
                    </a:lnTo>
                    <a:lnTo>
                      <a:pt x="670" y="187"/>
                    </a:lnTo>
                    <a:lnTo>
                      <a:pt x="670" y="187"/>
                    </a:lnTo>
                    <a:lnTo>
                      <a:pt x="670" y="187"/>
                    </a:lnTo>
                    <a:lnTo>
                      <a:pt x="670" y="187"/>
                    </a:lnTo>
                    <a:lnTo>
                      <a:pt x="670" y="187"/>
                    </a:lnTo>
                    <a:lnTo>
                      <a:pt x="670" y="196"/>
                    </a:lnTo>
                    <a:lnTo>
                      <a:pt x="670" y="196"/>
                    </a:lnTo>
                    <a:lnTo>
                      <a:pt x="670" y="196"/>
                    </a:lnTo>
                    <a:lnTo>
                      <a:pt x="670" y="196"/>
                    </a:lnTo>
                    <a:lnTo>
                      <a:pt x="670" y="196"/>
                    </a:lnTo>
                    <a:lnTo>
                      <a:pt x="670" y="196"/>
                    </a:lnTo>
                    <a:lnTo>
                      <a:pt x="661" y="196"/>
                    </a:lnTo>
                    <a:lnTo>
                      <a:pt x="661" y="196"/>
                    </a:lnTo>
                    <a:lnTo>
                      <a:pt x="661" y="196"/>
                    </a:lnTo>
                    <a:lnTo>
                      <a:pt x="661" y="205"/>
                    </a:lnTo>
                    <a:lnTo>
                      <a:pt x="661" y="205"/>
                    </a:lnTo>
                    <a:lnTo>
                      <a:pt x="661" y="205"/>
                    </a:lnTo>
                    <a:lnTo>
                      <a:pt x="652" y="205"/>
                    </a:lnTo>
                    <a:lnTo>
                      <a:pt x="652" y="205"/>
                    </a:lnTo>
                    <a:lnTo>
                      <a:pt x="652" y="205"/>
                    </a:lnTo>
                    <a:lnTo>
                      <a:pt x="652" y="205"/>
                    </a:lnTo>
                    <a:lnTo>
                      <a:pt x="643" y="205"/>
                    </a:lnTo>
                    <a:lnTo>
                      <a:pt x="643" y="205"/>
                    </a:lnTo>
                    <a:lnTo>
                      <a:pt x="643" y="205"/>
                    </a:lnTo>
                    <a:lnTo>
                      <a:pt x="643" y="205"/>
                    </a:lnTo>
                    <a:lnTo>
                      <a:pt x="643" y="205"/>
                    </a:lnTo>
                    <a:lnTo>
                      <a:pt x="643" y="214"/>
                    </a:lnTo>
                    <a:lnTo>
                      <a:pt x="643" y="214"/>
                    </a:lnTo>
                    <a:lnTo>
                      <a:pt x="634" y="214"/>
                    </a:lnTo>
                    <a:lnTo>
                      <a:pt x="634" y="214"/>
                    </a:lnTo>
                    <a:lnTo>
                      <a:pt x="634" y="214"/>
                    </a:lnTo>
                    <a:lnTo>
                      <a:pt x="634" y="223"/>
                    </a:lnTo>
                    <a:lnTo>
                      <a:pt x="634" y="223"/>
                    </a:lnTo>
                    <a:lnTo>
                      <a:pt x="634" y="223"/>
                    </a:lnTo>
                    <a:lnTo>
                      <a:pt x="634" y="232"/>
                    </a:lnTo>
                    <a:lnTo>
                      <a:pt x="634" y="232"/>
                    </a:lnTo>
                    <a:lnTo>
                      <a:pt x="634" y="241"/>
                    </a:lnTo>
                    <a:lnTo>
                      <a:pt x="634" y="241"/>
                    </a:lnTo>
                    <a:lnTo>
                      <a:pt x="634" y="250"/>
                    </a:lnTo>
                    <a:lnTo>
                      <a:pt x="634" y="250"/>
                    </a:lnTo>
                    <a:lnTo>
                      <a:pt x="634" y="259"/>
                    </a:lnTo>
                    <a:lnTo>
                      <a:pt x="634" y="259"/>
                    </a:lnTo>
                    <a:lnTo>
                      <a:pt x="634" y="268"/>
                    </a:lnTo>
                    <a:lnTo>
                      <a:pt x="634" y="268"/>
                    </a:lnTo>
                    <a:lnTo>
                      <a:pt x="634" y="277"/>
                    </a:lnTo>
                    <a:lnTo>
                      <a:pt x="634" y="277"/>
                    </a:lnTo>
                    <a:lnTo>
                      <a:pt x="634" y="285"/>
                    </a:lnTo>
                    <a:lnTo>
                      <a:pt x="634" y="285"/>
                    </a:lnTo>
                    <a:lnTo>
                      <a:pt x="634" y="294"/>
                    </a:lnTo>
                    <a:lnTo>
                      <a:pt x="634" y="294"/>
                    </a:lnTo>
                    <a:lnTo>
                      <a:pt x="634" y="303"/>
                    </a:lnTo>
                    <a:lnTo>
                      <a:pt x="634" y="303"/>
                    </a:lnTo>
                    <a:lnTo>
                      <a:pt x="634" y="303"/>
                    </a:lnTo>
                    <a:lnTo>
                      <a:pt x="634" y="312"/>
                    </a:lnTo>
                    <a:lnTo>
                      <a:pt x="634" y="312"/>
                    </a:lnTo>
                    <a:lnTo>
                      <a:pt x="634" y="312"/>
                    </a:lnTo>
                    <a:lnTo>
                      <a:pt x="634" y="321"/>
                    </a:lnTo>
                    <a:lnTo>
                      <a:pt x="634" y="321"/>
                    </a:lnTo>
                    <a:lnTo>
                      <a:pt x="625" y="321"/>
                    </a:lnTo>
                    <a:lnTo>
                      <a:pt x="625" y="321"/>
                    </a:lnTo>
                    <a:lnTo>
                      <a:pt x="625" y="321"/>
                    </a:lnTo>
                    <a:lnTo>
                      <a:pt x="625" y="330"/>
                    </a:lnTo>
                    <a:lnTo>
                      <a:pt x="625" y="330"/>
                    </a:lnTo>
                    <a:lnTo>
                      <a:pt x="625" y="330"/>
                    </a:lnTo>
                    <a:lnTo>
                      <a:pt x="625" y="330"/>
                    </a:lnTo>
                    <a:lnTo>
                      <a:pt x="625" y="330"/>
                    </a:lnTo>
                    <a:lnTo>
                      <a:pt x="625" y="339"/>
                    </a:lnTo>
                    <a:lnTo>
                      <a:pt x="625" y="339"/>
                    </a:lnTo>
                    <a:lnTo>
                      <a:pt x="625" y="339"/>
                    </a:lnTo>
                    <a:lnTo>
                      <a:pt x="625" y="339"/>
                    </a:lnTo>
                    <a:lnTo>
                      <a:pt x="625" y="339"/>
                    </a:lnTo>
                    <a:lnTo>
                      <a:pt x="616" y="339"/>
                    </a:lnTo>
                    <a:lnTo>
                      <a:pt x="616" y="339"/>
                    </a:lnTo>
                    <a:lnTo>
                      <a:pt x="616" y="339"/>
                    </a:lnTo>
                    <a:lnTo>
                      <a:pt x="616" y="339"/>
                    </a:lnTo>
                    <a:lnTo>
                      <a:pt x="616" y="339"/>
                    </a:lnTo>
                    <a:lnTo>
                      <a:pt x="616" y="339"/>
                    </a:lnTo>
                    <a:lnTo>
                      <a:pt x="607" y="339"/>
                    </a:lnTo>
                    <a:lnTo>
                      <a:pt x="607" y="339"/>
                    </a:lnTo>
                    <a:lnTo>
                      <a:pt x="607" y="339"/>
                    </a:lnTo>
                    <a:lnTo>
                      <a:pt x="607" y="339"/>
                    </a:lnTo>
                    <a:lnTo>
                      <a:pt x="607" y="339"/>
                    </a:lnTo>
                    <a:lnTo>
                      <a:pt x="598" y="339"/>
                    </a:lnTo>
                    <a:lnTo>
                      <a:pt x="598" y="339"/>
                    </a:lnTo>
                    <a:lnTo>
                      <a:pt x="598" y="339"/>
                    </a:lnTo>
                    <a:lnTo>
                      <a:pt x="598" y="339"/>
                    </a:lnTo>
                    <a:lnTo>
                      <a:pt x="598" y="339"/>
                    </a:lnTo>
                    <a:lnTo>
                      <a:pt x="598" y="339"/>
                    </a:lnTo>
                    <a:lnTo>
                      <a:pt x="589" y="339"/>
                    </a:lnTo>
                    <a:lnTo>
                      <a:pt x="589" y="339"/>
                    </a:lnTo>
                    <a:lnTo>
                      <a:pt x="589" y="339"/>
                    </a:lnTo>
                    <a:lnTo>
                      <a:pt x="589" y="339"/>
                    </a:lnTo>
                    <a:lnTo>
                      <a:pt x="589" y="339"/>
                    </a:lnTo>
                    <a:lnTo>
                      <a:pt x="589" y="339"/>
                    </a:lnTo>
                    <a:lnTo>
                      <a:pt x="589" y="339"/>
                    </a:lnTo>
                    <a:lnTo>
                      <a:pt x="589" y="348"/>
                    </a:lnTo>
                    <a:lnTo>
                      <a:pt x="580" y="348"/>
                    </a:lnTo>
                    <a:lnTo>
                      <a:pt x="580" y="357"/>
                    </a:lnTo>
                    <a:lnTo>
                      <a:pt x="580" y="357"/>
                    </a:lnTo>
                    <a:lnTo>
                      <a:pt x="580" y="357"/>
                    </a:lnTo>
                    <a:lnTo>
                      <a:pt x="580" y="366"/>
                    </a:lnTo>
                    <a:lnTo>
                      <a:pt x="580" y="366"/>
                    </a:lnTo>
                    <a:lnTo>
                      <a:pt x="580" y="375"/>
                    </a:lnTo>
                    <a:lnTo>
                      <a:pt x="580" y="375"/>
                    </a:lnTo>
                    <a:lnTo>
                      <a:pt x="580" y="384"/>
                    </a:lnTo>
                    <a:lnTo>
                      <a:pt x="580" y="384"/>
                    </a:lnTo>
                    <a:lnTo>
                      <a:pt x="580" y="384"/>
                    </a:lnTo>
                    <a:lnTo>
                      <a:pt x="580" y="393"/>
                    </a:lnTo>
                    <a:lnTo>
                      <a:pt x="589" y="393"/>
                    </a:lnTo>
                    <a:lnTo>
                      <a:pt x="589" y="402"/>
                    </a:lnTo>
                    <a:lnTo>
                      <a:pt x="589" y="402"/>
                    </a:lnTo>
                    <a:lnTo>
                      <a:pt x="589" y="402"/>
                    </a:lnTo>
                    <a:lnTo>
                      <a:pt x="589" y="410"/>
                    </a:lnTo>
                    <a:lnTo>
                      <a:pt x="589" y="410"/>
                    </a:lnTo>
                    <a:lnTo>
                      <a:pt x="589" y="410"/>
                    </a:lnTo>
                    <a:lnTo>
                      <a:pt x="589" y="419"/>
                    </a:lnTo>
                    <a:lnTo>
                      <a:pt x="589" y="419"/>
                    </a:lnTo>
                    <a:lnTo>
                      <a:pt x="589" y="419"/>
                    </a:lnTo>
                    <a:lnTo>
                      <a:pt x="589" y="428"/>
                    </a:lnTo>
                    <a:lnTo>
                      <a:pt x="589" y="428"/>
                    </a:lnTo>
                    <a:lnTo>
                      <a:pt x="589" y="428"/>
                    </a:lnTo>
                    <a:lnTo>
                      <a:pt x="589" y="428"/>
                    </a:lnTo>
                    <a:lnTo>
                      <a:pt x="589" y="437"/>
                    </a:lnTo>
                    <a:lnTo>
                      <a:pt x="580" y="437"/>
                    </a:lnTo>
                    <a:lnTo>
                      <a:pt x="580" y="437"/>
                    </a:lnTo>
                    <a:lnTo>
                      <a:pt x="580" y="437"/>
                    </a:lnTo>
                    <a:lnTo>
                      <a:pt x="580" y="446"/>
                    </a:lnTo>
                    <a:lnTo>
                      <a:pt x="580" y="446"/>
                    </a:lnTo>
                    <a:lnTo>
                      <a:pt x="580" y="446"/>
                    </a:lnTo>
                    <a:lnTo>
                      <a:pt x="580" y="446"/>
                    </a:lnTo>
                    <a:lnTo>
                      <a:pt x="580" y="446"/>
                    </a:lnTo>
                    <a:lnTo>
                      <a:pt x="572" y="446"/>
                    </a:lnTo>
                    <a:lnTo>
                      <a:pt x="572" y="446"/>
                    </a:lnTo>
                    <a:lnTo>
                      <a:pt x="572" y="446"/>
                    </a:lnTo>
                    <a:lnTo>
                      <a:pt x="572" y="446"/>
                    </a:lnTo>
                    <a:lnTo>
                      <a:pt x="572" y="446"/>
                    </a:lnTo>
                    <a:lnTo>
                      <a:pt x="572" y="446"/>
                    </a:lnTo>
                    <a:lnTo>
                      <a:pt x="572" y="455"/>
                    </a:lnTo>
                    <a:lnTo>
                      <a:pt x="572" y="455"/>
                    </a:lnTo>
                    <a:lnTo>
                      <a:pt x="572" y="455"/>
                    </a:lnTo>
                    <a:lnTo>
                      <a:pt x="572" y="455"/>
                    </a:lnTo>
                    <a:lnTo>
                      <a:pt x="572" y="455"/>
                    </a:lnTo>
                    <a:lnTo>
                      <a:pt x="572" y="455"/>
                    </a:lnTo>
                    <a:lnTo>
                      <a:pt x="572" y="464"/>
                    </a:lnTo>
                    <a:lnTo>
                      <a:pt x="572" y="464"/>
                    </a:lnTo>
                    <a:lnTo>
                      <a:pt x="572" y="464"/>
                    </a:lnTo>
                    <a:lnTo>
                      <a:pt x="572" y="464"/>
                    </a:lnTo>
                    <a:lnTo>
                      <a:pt x="572" y="464"/>
                    </a:lnTo>
                    <a:lnTo>
                      <a:pt x="572" y="464"/>
                    </a:lnTo>
                    <a:lnTo>
                      <a:pt x="572" y="464"/>
                    </a:lnTo>
                    <a:lnTo>
                      <a:pt x="572" y="464"/>
                    </a:lnTo>
                    <a:lnTo>
                      <a:pt x="580" y="464"/>
                    </a:lnTo>
                    <a:lnTo>
                      <a:pt x="580" y="464"/>
                    </a:lnTo>
                    <a:lnTo>
                      <a:pt x="580" y="464"/>
                    </a:lnTo>
                    <a:lnTo>
                      <a:pt x="589" y="464"/>
                    </a:lnTo>
                    <a:lnTo>
                      <a:pt x="589" y="464"/>
                    </a:lnTo>
                    <a:lnTo>
                      <a:pt x="589" y="464"/>
                    </a:lnTo>
                    <a:lnTo>
                      <a:pt x="598" y="464"/>
                    </a:lnTo>
                    <a:lnTo>
                      <a:pt x="598" y="464"/>
                    </a:lnTo>
                    <a:lnTo>
                      <a:pt x="598" y="464"/>
                    </a:lnTo>
                    <a:lnTo>
                      <a:pt x="598" y="464"/>
                    </a:lnTo>
                    <a:lnTo>
                      <a:pt x="607" y="464"/>
                    </a:lnTo>
                    <a:lnTo>
                      <a:pt x="607" y="464"/>
                    </a:lnTo>
                    <a:lnTo>
                      <a:pt x="607" y="464"/>
                    </a:lnTo>
                    <a:lnTo>
                      <a:pt x="607" y="464"/>
                    </a:lnTo>
                    <a:lnTo>
                      <a:pt x="607" y="464"/>
                    </a:lnTo>
                    <a:lnTo>
                      <a:pt x="616" y="464"/>
                    </a:lnTo>
                    <a:lnTo>
                      <a:pt x="616" y="464"/>
                    </a:lnTo>
                    <a:lnTo>
                      <a:pt x="616" y="464"/>
                    </a:lnTo>
                    <a:lnTo>
                      <a:pt x="616" y="464"/>
                    </a:lnTo>
                    <a:lnTo>
                      <a:pt x="625" y="464"/>
                    </a:lnTo>
                    <a:lnTo>
                      <a:pt x="625" y="464"/>
                    </a:lnTo>
                    <a:lnTo>
                      <a:pt x="625" y="464"/>
                    </a:lnTo>
                    <a:lnTo>
                      <a:pt x="634" y="464"/>
                    </a:lnTo>
                    <a:lnTo>
                      <a:pt x="634" y="464"/>
                    </a:lnTo>
                    <a:lnTo>
                      <a:pt x="634" y="473"/>
                    </a:lnTo>
                    <a:lnTo>
                      <a:pt x="634" y="473"/>
                    </a:lnTo>
                    <a:lnTo>
                      <a:pt x="634" y="473"/>
                    </a:lnTo>
                    <a:lnTo>
                      <a:pt x="634" y="473"/>
                    </a:lnTo>
                    <a:lnTo>
                      <a:pt x="634" y="473"/>
                    </a:lnTo>
                    <a:lnTo>
                      <a:pt x="634" y="482"/>
                    </a:lnTo>
                    <a:lnTo>
                      <a:pt x="634" y="482"/>
                    </a:lnTo>
                    <a:lnTo>
                      <a:pt x="634" y="482"/>
                    </a:lnTo>
                    <a:lnTo>
                      <a:pt x="634" y="491"/>
                    </a:lnTo>
                    <a:lnTo>
                      <a:pt x="634" y="491"/>
                    </a:lnTo>
                    <a:lnTo>
                      <a:pt x="634" y="491"/>
                    </a:lnTo>
                    <a:lnTo>
                      <a:pt x="634" y="500"/>
                    </a:lnTo>
                    <a:lnTo>
                      <a:pt x="634" y="500"/>
                    </a:lnTo>
                    <a:lnTo>
                      <a:pt x="634" y="509"/>
                    </a:lnTo>
                    <a:lnTo>
                      <a:pt x="634" y="509"/>
                    </a:lnTo>
                    <a:lnTo>
                      <a:pt x="634" y="518"/>
                    </a:lnTo>
                    <a:lnTo>
                      <a:pt x="634" y="518"/>
                    </a:lnTo>
                    <a:lnTo>
                      <a:pt x="634" y="518"/>
                    </a:lnTo>
                    <a:lnTo>
                      <a:pt x="634" y="527"/>
                    </a:lnTo>
                    <a:lnTo>
                      <a:pt x="634" y="527"/>
                    </a:lnTo>
                    <a:lnTo>
                      <a:pt x="634" y="527"/>
                    </a:lnTo>
                    <a:lnTo>
                      <a:pt x="625" y="527"/>
                    </a:lnTo>
                    <a:lnTo>
                      <a:pt x="625" y="535"/>
                    </a:lnTo>
                    <a:lnTo>
                      <a:pt x="625" y="535"/>
                    </a:lnTo>
                    <a:lnTo>
                      <a:pt x="625" y="535"/>
                    </a:lnTo>
                    <a:lnTo>
                      <a:pt x="625" y="535"/>
                    </a:lnTo>
                    <a:lnTo>
                      <a:pt x="625" y="544"/>
                    </a:lnTo>
                    <a:lnTo>
                      <a:pt x="625" y="544"/>
                    </a:lnTo>
                    <a:lnTo>
                      <a:pt x="616" y="544"/>
                    </a:lnTo>
                    <a:lnTo>
                      <a:pt x="616" y="544"/>
                    </a:lnTo>
                    <a:lnTo>
                      <a:pt x="616" y="553"/>
                    </a:lnTo>
                    <a:lnTo>
                      <a:pt x="616" y="553"/>
                    </a:lnTo>
                    <a:lnTo>
                      <a:pt x="616" y="553"/>
                    </a:lnTo>
                    <a:lnTo>
                      <a:pt x="616" y="553"/>
                    </a:lnTo>
                    <a:lnTo>
                      <a:pt x="607" y="562"/>
                    </a:lnTo>
                    <a:lnTo>
                      <a:pt x="607" y="562"/>
                    </a:lnTo>
                    <a:lnTo>
                      <a:pt x="607" y="562"/>
                    </a:lnTo>
                    <a:lnTo>
                      <a:pt x="607" y="562"/>
                    </a:lnTo>
                    <a:lnTo>
                      <a:pt x="607" y="562"/>
                    </a:lnTo>
                    <a:lnTo>
                      <a:pt x="607" y="571"/>
                    </a:lnTo>
                    <a:lnTo>
                      <a:pt x="607" y="571"/>
                    </a:lnTo>
                    <a:lnTo>
                      <a:pt x="607" y="571"/>
                    </a:lnTo>
                    <a:lnTo>
                      <a:pt x="607" y="571"/>
                    </a:lnTo>
                    <a:lnTo>
                      <a:pt x="607" y="580"/>
                    </a:lnTo>
                    <a:lnTo>
                      <a:pt x="607" y="580"/>
                    </a:lnTo>
                    <a:lnTo>
                      <a:pt x="607" y="580"/>
                    </a:lnTo>
                    <a:lnTo>
                      <a:pt x="607" y="589"/>
                    </a:lnTo>
                    <a:lnTo>
                      <a:pt x="607" y="589"/>
                    </a:lnTo>
                    <a:lnTo>
                      <a:pt x="607" y="589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598" y="598"/>
                    </a:lnTo>
                    <a:lnTo>
                      <a:pt x="598" y="607"/>
                    </a:lnTo>
                    <a:lnTo>
                      <a:pt x="598" y="607"/>
                    </a:lnTo>
                    <a:lnTo>
                      <a:pt x="598" y="616"/>
                    </a:lnTo>
                    <a:lnTo>
                      <a:pt x="598" y="616"/>
                    </a:lnTo>
                    <a:lnTo>
                      <a:pt x="598" y="616"/>
                    </a:lnTo>
                    <a:lnTo>
                      <a:pt x="598" y="625"/>
                    </a:lnTo>
                    <a:lnTo>
                      <a:pt x="598" y="625"/>
                    </a:lnTo>
                    <a:lnTo>
                      <a:pt x="598" y="625"/>
                    </a:lnTo>
                    <a:lnTo>
                      <a:pt x="598" y="634"/>
                    </a:lnTo>
                    <a:lnTo>
                      <a:pt x="598" y="634"/>
                    </a:lnTo>
                    <a:lnTo>
                      <a:pt x="598" y="634"/>
                    </a:lnTo>
                    <a:lnTo>
                      <a:pt x="598" y="643"/>
                    </a:lnTo>
                    <a:lnTo>
                      <a:pt x="598" y="643"/>
                    </a:lnTo>
                    <a:lnTo>
                      <a:pt x="598" y="652"/>
                    </a:lnTo>
                    <a:lnTo>
                      <a:pt x="598" y="652"/>
                    </a:lnTo>
                    <a:lnTo>
                      <a:pt x="607" y="652"/>
                    </a:lnTo>
                    <a:lnTo>
                      <a:pt x="607" y="661"/>
                    </a:lnTo>
                    <a:lnTo>
                      <a:pt x="607" y="661"/>
                    </a:lnTo>
                    <a:lnTo>
                      <a:pt x="607" y="669"/>
                    </a:lnTo>
                    <a:lnTo>
                      <a:pt x="607" y="669"/>
                    </a:lnTo>
                    <a:lnTo>
                      <a:pt x="607" y="678"/>
                    </a:lnTo>
                    <a:lnTo>
                      <a:pt x="607" y="678"/>
                    </a:lnTo>
                    <a:lnTo>
                      <a:pt x="607" y="678"/>
                    </a:lnTo>
                    <a:lnTo>
                      <a:pt x="616" y="687"/>
                    </a:lnTo>
                    <a:lnTo>
                      <a:pt x="616" y="687"/>
                    </a:lnTo>
                    <a:lnTo>
                      <a:pt x="616" y="687"/>
                    </a:lnTo>
                    <a:lnTo>
                      <a:pt x="616" y="696"/>
                    </a:lnTo>
                    <a:lnTo>
                      <a:pt x="616" y="696"/>
                    </a:lnTo>
                    <a:lnTo>
                      <a:pt x="616" y="696"/>
                    </a:lnTo>
                    <a:lnTo>
                      <a:pt x="625" y="696"/>
                    </a:lnTo>
                    <a:lnTo>
                      <a:pt x="625" y="705"/>
                    </a:lnTo>
                    <a:lnTo>
                      <a:pt x="625" y="705"/>
                    </a:lnTo>
                    <a:lnTo>
                      <a:pt x="625" y="705"/>
                    </a:lnTo>
                    <a:lnTo>
                      <a:pt x="625" y="705"/>
                    </a:lnTo>
                    <a:lnTo>
                      <a:pt x="625" y="705"/>
                    </a:lnTo>
                    <a:lnTo>
                      <a:pt x="625" y="705"/>
                    </a:lnTo>
                    <a:lnTo>
                      <a:pt x="625" y="714"/>
                    </a:lnTo>
                    <a:lnTo>
                      <a:pt x="625" y="714"/>
                    </a:lnTo>
                    <a:lnTo>
                      <a:pt x="625" y="714"/>
                    </a:lnTo>
                    <a:lnTo>
                      <a:pt x="625" y="714"/>
                    </a:lnTo>
                    <a:lnTo>
                      <a:pt x="625" y="714"/>
                    </a:lnTo>
                    <a:lnTo>
                      <a:pt x="625" y="714"/>
                    </a:lnTo>
                    <a:lnTo>
                      <a:pt x="625" y="723"/>
                    </a:lnTo>
                    <a:lnTo>
                      <a:pt x="625" y="723"/>
                    </a:lnTo>
                    <a:lnTo>
                      <a:pt x="625" y="723"/>
                    </a:lnTo>
                    <a:lnTo>
                      <a:pt x="625" y="723"/>
                    </a:lnTo>
                    <a:lnTo>
                      <a:pt x="625" y="723"/>
                    </a:lnTo>
                    <a:lnTo>
                      <a:pt x="625" y="732"/>
                    </a:lnTo>
                    <a:lnTo>
                      <a:pt x="616" y="732"/>
                    </a:lnTo>
                    <a:lnTo>
                      <a:pt x="616" y="732"/>
                    </a:lnTo>
                    <a:lnTo>
                      <a:pt x="616" y="732"/>
                    </a:lnTo>
                    <a:lnTo>
                      <a:pt x="616" y="732"/>
                    </a:lnTo>
                    <a:lnTo>
                      <a:pt x="616" y="741"/>
                    </a:lnTo>
                    <a:lnTo>
                      <a:pt x="616" y="741"/>
                    </a:lnTo>
                    <a:lnTo>
                      <a:pt x="616" y="741"/>
                    </a:lnTo>
                    <a:lnTo>
                      <a:pt x="616" y="741"/>
                    </a:lnTo>
                    <a:lnTo>
                      <a:pt x="616" y="741"/>
                    </a:lnTo>
                    <a:lnTo>
                      <a:pt x="607" y="741"/>
                    </a:lnTo>
                    <a:lnTo>
                      <a:pt x="607" y="750"/>
                    </a:lnTo>
                    <a:lnTo>
                      <a:pt x="607" y="750"/>
                    </a:lnTo>
                    <a:lnTo>
                      <a:pt x="607" y="750"/>
                    </a:lnTo>
                    <a:lnTo>
                      <a:pt x="607" y="750"/>
                    </a:lnTo>
                    <a:lnTo>
                      <a:pt x="607" y="750"/>
                    </a:lnTo>
                    <a:lnTo>
                      <a:pt x="607" y="750"/>
                    </a:lnTo>
                    <a:lnTo>
                      <a:pt x="607" y="759"/>
                    </a:lnTo>
                    <a:lnTo>
                      <a:pt x="607" y="759"/>
                    </a:lnTo>
                    <a:lnTo>
                      <a:pt x="607" y="759"/>
                    </a:lnTo>
                    <a:lnTo>
                      <a:pt x="607" y="759"/>
                    </a:lnTo>
                    <a:lnTo>
                      <a:pt x="607" y="768"/>
                    </a:lnTo>
                    <a:lnTo>
                      <a:pt x="607" y="768"/>
                    </a:lnTo>
                    <a:lnTo>
                      <a:pt x="598" y="768"/>
                    </a:lnTo>
                    <a:lnTo>
                      <a:pt x="598" y="768"/>
                    </a:lnTo>
                    <a:lnTo>
                      <a:pt x="598" y="777"/>
                    </a:lnTo>
                    <a:lnTo>
                      <a:pt x="598" y="777"/>
                    </a:lnTo>
                    <a:lnTo>
                      <a:pt x="598" y="777"/>
                    </a:lnTo>
                    <a:lnTo>
                      <a:pt x="598" y="786"/>
                    </a:lnTo>
                    <a:lnTo>
                      <a:pt x="589" y="786"/>
                    </a:lnTo>
                    <a:lnTo>
                      <a:pt x="589" y="786"/>
                    </a:lnTo>
                    <a:lnTo>
                      <a:pt x="589" y="786"/>
                    </a:lnTo>
                    <a:lnTo>
                      <a:pt x="589" y="794"/>
                    </a:lnTo>
                    <a:lnTo>
                      <a:pt x="589" y="794"/>
                    </a:lnTo>
                    <a:lnTo>
                      <a:pt x="589" y="794"/>
                    </a:lnTo>
                    <a:lnTo>
                      <a:pt x="580" y="794"/>
                    </a:lnTo>
                    <a:lnTo>
                      <a:pt x="580" y="803"/>
                    </a:lnTo>
                    <a:lnTo>
                      <a:pt x="580" y="803"/>
                    </a:lnTo>
                    <a:lnTo>
                      <a:pt x="580" y="803"/>
                    </a:lnTo>
                    <a:lnTo>
                      <a:pt x="580" y="812"/>
                    </a:lnTo>
                    <a:lnTo>
                      <a:pt x="580" y="812"/>
                    </a:lnTo>
                    <a:lnTo>
                      <a:pt x="580" y="812"/>
                    </a:lnTo>
                    <a:lnTo>
                      <a:pt x="580" y="821"/>
                    </a:lnTo>
                    <a:lnTo>
                      <a:pt x="580" y="821"/>
                    </a:lnTo>
                    <a:lnTo>
                      <a:pt x="580" y="821"/>
                    </a:lnTo>
                    <a:lnTo>
                      <a:pt x="580" y="821"/>
                    </a:lnTo>
                    <a:lnTo>
                      <a:pt x="580" y="830"/>
                    </a:lnTo>
                    <a:lnTo>
                      <a:pt x="572" y="830"/>
                    </a:lnTo>
                    <a:lnTo>
                      <a:pt x="572" y="830"/>
                    </a:lnTo>
                    <a:lnTo>
                      <a:pt x="572" y="830"/>
                    </a:lnTo>
                    <a:lnTo>
                      <a:pt x="572" y="830"/>
                    </a:lnTo>
                    <a:lnTo>
                      <a:pt x="572" y="830"/>
                    </a:lnTo>
                    <a:lnTo>
                      <a:pt x="572" y="839"/>
                    </a:lnTo>
                    <a:lnTo>
                      <a:pt x="572" y="839"/>
                    </a:lnTo>
                    <a:lnTo>
                      <a:pt x="572" y="839"/>
                    </a:lnTo>
                    <a:lnTo>
                      <a:pt x="572" y="839"/>
                    </a:lnTo>
                    <a:lnTo>
                      <a:pt x="572" y="839"/>
                    </a:lnTo>
                    <a:lnTo>
                      <a:pt x="572" y="848"/>
                    </a:lnTo>
                    <a:lnTo>
                      <a:pt x="572" y="848"/>
                    </a:lnTo>
                    <a:lnTo>
                      <a:pt x="563" y="848"/>
                    </a:lnTo>
                    <a:lnTo>
                      <a:pt x="563" y="848"/>
                    </a:lnTo>
                    <a:lnTo>
                      <a:pt x="563" y="848"/>
                    </a:lnTo>
                    <a:lnTo>
                      <a:pt x="563" y="857"/>
                    </a:lnTo>
                    <a:lnTo>
                      <a:pt x="563" y="857"/>
                    </a:lnTo>
                    <a:lnTo>
                      <a:pt x="563" y="857"/>
                    </a:lnTo>
                    <a:lnTo>
                      <a:pt x="554" y="857"/>
                    </a:lnTo>
                    <a:lnTo>
                      <a:pt x="554" y="857"/>
                    </a:lnTo>
                    <a:lnTo>
                      <a:pt x="554" y="866"/>
                    </a:lnTo>
                    <a:lnTo>
                      <a:pt x="554" y="866"/>
                    </a:lnTo>
                    <a:lnTo>
                      <a:pt x="554" y="866"/>
                    </a:lnTo>
                    <a:lnTo>
                      <a:pt x="554" y="866"/>
                    </a:lnTo>
                    <a:lnTo>
                      <a:pt x="554" y="866"/>
                    </a:lnTo>
                    <a:lnTo>
                      <a:pt x="554" y="866"/>
                    </a:lnTo>
                    <a:lnTo>
                      <a:pt x="554" y="875"/>
                    </a:lnTo>
                    <a:lnTo>
                      <a:pt x="554" y="875"/>
                    </a:lnTo>
                    <a:lnTo>
                      <a:pt x="554" y="875"/>
                    </a:lnTo>
                    <a:lnTo>
                      <a:pt x="554" y="875"/>
                    </a:lnTo>
                    <a:close/>
                  </a:path>
                </a:pathLst>
              </a:custGeom>
              <a:solidFill>
                <a:schemeClr val="tx2">
                  <a:lumMod val="60000"/>
                  <a:lumOff val="40000"/>
                </a:schemeClr>
              </a:solidFill>
              <a:ln w="21590" cmpd="sng">
                <a:solidFill>
                  <a:srgbClr val="FFFFFF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64" name="Freeform 71">
                <a:extLst>
                  <a:ext uri="{FF2B5EF4-FFF2-40B4-BE49-F238E27FC236}">
                    <a16:creationId xmlns:a16="http://schemas.microsoft.com/office/drawing/2014/main" id="{7750D3C2-BF82-4529-A0EA-551CACDC3B8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039" y="10376"/>
                <a:ext cx="1393" cy="2351"/>
              </a:xfrm>
              <a:custGeom>
                <a:avLst/>
                <a:gdLst>
                  <a:gd name="T0" fmla="*/ 850 w 1393"/>
                  <a:gd name="T1" fmla="*/ 120 h 2351"/>
                  <a:gd name="T2" fmla="*/ 940 w 1393"/>
                  <a:gd name="T3" fmla="*/ 160 h 2351"/>
                  <a:gd name="T4" fmla="*/ 1100 w 1393"/>
                  <a:gd name="T5" fmla="*/ 270 h 2351"/>
                  <a:gd name="T6" fmla="*/ 1220 w 1393"/>
                  <a:gd name="T7" fmla="*/ 360 h 2351"/>
                  <a:gd name="T8" fmla="*/ 1110 w 1393"/>
                  <a:gd name="T9" fmla="*/ 660 h 2351"/>
                  <a:gd name="T10" fmla="*/ 990 w 1393"/>
                  <a:gd name="T11" fmla="*/ 800 h 2351"/>
                  <a:gd name="T12" fmla="*/ 890 w 1393"/>
                  <a:gd name="T13" fmla="*/ 1040 h 2351"/>
                  <a:gd name="T14" fmla="*/ 960 w 1393"/>
                  <a:gd name="T15" fmla="*/ 1140 h 2351"/>
                  <a:gd name="T16" fmla="*/ 1140 w 1393"/>
                  <a:gd name="T17" fmla="*/ 1180 h 2351"/>
                  <a:gd name="T18" fmla="*/ 1100 w 1393"/>
                  <a:gd name="T19" fmla="*/ 1320 h 2351"/>
                  <a:gd name="T20" fmla="*/ 1000 w 1393"/>
                  <a:gd name="T21" fmla="*/ 1580 h 2351"/>
                  <a:gd name="T22" fmla="*/ 1150 w 1393"/>
                  <a:gd name="T23" fmla="*/ 1650 h 2351"/>
                  <a:gd name="T24" fmla="*/ 1340 w 1393"/>
                  <a:gd name="T25" fmla="*/ 2020 h 2351"/>
                  <a:gd name="T26" fmla="*/ 1370 w 1393"/>
                  <a:gd name="T27" fmla="*/ 2340 h 2351"/>
                  <a:gd name="T28" fmla="*/ 1260 w 1393"/>
                  <a:gd name="T29" fmla="*/ 2290 h 2351"/>
                  <a:gd name="T30" fmla="*/ 940 w 1393"/>
                  <a:gd name="T31" fmla="*/ 2100 h 2351"/>
                  <a:gd name="T32" fmla="*/ 760 w 1393"/>
                  <a:gd name="T33" fmla="*/ 2000 h 2351"/>
                  <a:gd name="T34" fmla="*/ 510 w 1393"/>
                  <a:gd name="T35" fmla="*/ 1850 h 2351"/>
                  <a:gd name="T36" fmla="*/ 230 w 1393"/>
                  <a:gd name="T37" fmla="*/ 1800 h 2351"/>
                  <a:gd name="T38" fmla="*/ 140 w 1393"/>
                  <a:gd name="T39" fmla="*/ 1740 h 2351"/>
                  <a:gd name="T40" fmla="*/ 200 w 1393"/>
                  <a:gd name="T41" fmla="*/ 1580 h 2351"/>
                  <a:gd name="T42" fmla="*/ 200 w 1393"/>
                  <a:gd name="T43" fmla="*/ 1400 h 2351"/>
                  <a:gd name="T44" fmla="*/ 50 w 1393"/>
                  <a:gd name="T45" fmla="*/ 1330 h 2351"/>
                  <a:gd name="T46" fmla="*/ 90 w 1393"/>
                  <a:gd name="T47" fmla="*/ 1100 h 2351"/>
                  <a:gd name="T48" fmla="*/ 180 w 1393"/>
                  <a:gd name="T49" fmla="*/ 1060 h 2351"/>
                  <a:gd name="T50" fmla="*/ 150 w 1393"/>
                  <a:gd name="T51" fmla="*/ 950 h 2351"/>
                  <a:gd name="T52" fmla="*/ 180 w 1393"/>
                  <a:gd name="T53" fmla="*/ 890 h 2351"/>
                  <a:gd name="T54" fmla="*/ 290 w 1393"/>
                  <a:gd name="T55" fmla="*/ 670 h 2351"/>
                  <a:gd name="T56" fmla="*/ 320 w 1393"/>
                  <a:gd name="T57" fmla="*/ 610 h 2351"/>
                  <a:gd name="T58" fmla="*/ 350 w 1393"/>
                  <a:gd name="T59" fmla="*/ 230 h 2351"/>
                  <a:gd name="T60" fmla="*/ 510 w 1393"/>
                  <a:gd name="T61" fmla="*/ 70 h 2351"/>
                  <a:gd name="T62" fmla="*/ 670 w 1393"/>
                  <a:gd name="T63" fmla="*/ 0 h 235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</a:cxnLst>
                <a:rect l="0" t="0" r="r" b="b"/>
                <a:pathLst>
                  <a:path w="1393" h="2351">
                    <a:moveTo>
                      <a:pt x="720" y="10"/>
                    </a:moveTo>
                    <a:cubicBezTo>
                      <a:pt x="776" y="29"/>
                      <a:pt x="809" y="79"/>
                      <a:pt x="850" y="120"/>
                    </a:cubicBezTo>
                    <a:cubicBezTo>
                      <a:pt x="865" y="135"/>
                      <a:pt x="892" y="128"/>
                      <a:pt x="910" y="140"/>
                    </a:cubicBezTo>
                    <a:cubicBezTo>
                      <a:pt x="920" y="147"/>
                      <a:pt x="932" y="151"/>
                      <a:pt x="940" y="160"/>
                    </a:cubicBezTo>
                    <a:cubicBezTo>
                      <a:pt x="962" y="185"/>
                      <a:pt x="980" y="213"/>
                      <a:pt x="1000" y="240"/>
                    </a:cubicBezTo>
                    <a:cubicBezTo>
                      <a:pt x="1055" y="226"/>
                      <a:pt x="1067" y="221"/>
                      <a:pt x="1100" y="270"/>
                    </a:cubicBezTo>
                    <a:cubicBezTo>
                      <a:pt x="1097" y="280"/>
                      <a:pt x="1092" y="290"/>
                      <a:pt x="1090" y="300"/>
                    </a:cubicBezTo>
                    <a:cubicBezTo>
                      <a:pt x="1067" y="417"/>
                      <a:pt x="1070" y="371"/>
                      <a:pt x="1220" y="360"/>
                    </a:cubicBezTo>
                    <a:cubicBezTo>
                      <a:pt x="1239" y="418"/>
                      <a:pt x="1210" y="470"/>
                      <a:pt x="1170" y="510"/>
                    </a:cubicBezTo>
                    <a:cubicBezTo>
                      <a:pt x="1161" y="573"/>
                      <a:pt x="1164" y="624"/>
                      <a:pt x="1110" y="660"/>
                    </a:cubicBezTo>
                    <a:cubicBezTo>
                      <a:pt x="1081" y="703"/>
                      <a:pt x="1064" y="690"/>
                      <a:pt x="1030" y="730"/>
                    </a:cubicBezTo>
                    <a:cubicBezTo>
                      <a:pt x="983" y="787"/>
                      <a:pt x="1039" y="732"/>
                      <a:pt x="990" y="800"/>
                    </a:cubicBezTo>
                    <a:cubicBezTo>
                      <a:pt x="964" y="837"/>
                      <a:pt x="941" y="858"/>
                      <a:pt x="920" y="900"/>
                    </a:cubicBezTo>
                    <a:cubicBezTo>
                      <a:pt x="912" y="948"/>
                      <a:pt x="905" y="994"/>
                      <a:pt x="890" y="1040"/>
                    </a:cubicBezTo>
                    <a:cubicBezTo>
                      <a:pt x="893" y="1063"/>
                      <a:pt x="890" y="1088"/>
                      <a:pt x="900" y="1110"/>
                    </a:cubicBezTo>
                    <a:cubicBezTo>
                      <a:pt x="905" y="1121"/>
                      <a:pt x="948" y="1139"/>
                      <a:pt x="960" y="1140"/>
                    </a:cubicBezTo>
                    <a:cubicBezTo>
                      <a:pt x="1016" y="1146"/>
                      <a:pt x="1073" y="1147"/>
                      <a:pt x="1130" y="1150"/>
                    </a:cubicBezTo>
                    <a:cubicBezTo>
                      <a:pt x="1133" y="1160"/>
                      <a:pt x="1140" y="1169"/>
                      <a:pt x="1140" y="1180"/>
                    </a:cubicBezTo>
                    <a:cubicBezTo>
                      <a:pt x="1140" y="1220"/>
                      <a:pt x="1141" y="1261"/>
                      <a:pt x="1130" y="1300"/>
                    </a:cubicBezTo>
                    <a:cubicBezTo>
                      <a:pt x="1127" y="1312"/>
                      <a:pt x="1111" y="1315"/>
                      <a:pt x="1100" y="1320"/>
                    </a:cubicBezTo>
                    <a:cubicBezTo>
                      <a:pt x="993" y="1368"/>
                      <a:pt x="1078" y="1315"/>
                      <a:pt x="1010" y="1360"/>
                    </a:cubicBezTo>
                    <a:cubicBezTo>
                      <a:pt x="1007" y="1433"/>
                      <a:pt x="994" y="1507"/>
                      <a:pt x="1000" y="1580"/>
                    </a:cubicBezTo>
                    <a:cubicBezTo>
                      <a:pt x="1001" y="1595"/>
                      <a:pt x="1052" y="1606"/>
                      <a:pt x="1060" y="1610"/>
                    </a:cubicBezTo>
                    <a:cubicBezTo>
                      <a:pt x="1089" y="1625"/>
                      <a:pt x="1150" y="1650"/>
                      <a:pt x="1150" y="1650"/>
                    </a:cubicBezTo>
                    <a:cubicBezTo>
                      <a:pt x="1165" y="1710"/>
                      <a:pt x="1169" y="1819"/>
                      <a:pt x="1190" y="1870"/>
                    </a:cubicBezTo>
                    <a:cubicBezTo>
                      <a:pt x="1217" y="1934"/>
                      <a:pt x="1274" y="1998"/>
                      <a:pt x="1340" y="2020"/>
                    </a:cubicBezTo>
                    <a:cubicBezTo>
                      <a:pt x="1361" y="2052"/>
                      <a:pt x="1373" y="2085"/>
                      <a:pt x="1390" y="2120"/>
                    </a:cubicBezTo>
                    <a:cubicBezTo>
                      <a:pt x="1381" y="2193"/>
                      <a:pt x="1393" y="2270"/>
                      <a:pt x="1370" y="2340"/>
                    </a:cubicBezTo>
                    <a:cubicBezTo>
                      <a:pt x="1366" y="2351"/>
                      <a:pt x="1351" y="2325"/>
                      <a:pt x="1340" y="2320"/>
                    </a:cubicBezTo>
                    <a:cubicBezTo>
                      <a:pt x="1314" y="2308"/>
                      <a:pt x="1287" y="2300"/>
                      <a:pt x="1260" y="2290"/>
                    </a:cubicBezTo>
                    <a:cubicBezTo>
                      <a:pt x="1166" y="2196"/>
                      <a:pt x="1143" y="2206"/>
                      <a:pt x="1000" y="2190"/>
                    </a:cubicBezTo>
                    <a:cubicBezTo>
                      <a:pt x="910" y="2123"/>
                      <a:pt x="1007" y="2207"/>
                      <a:pt x="940" y="2100"/>
                    </a:cubicBezTo>
                    <a:cubicBezTo>
                      <a:pt x="934" y="2090"/>
                      <a:pt x="919" y="2088"/>
                      <a:pt x="910" y="2080"/>
                    </a:cubicBezTo>
                    <a:cubicBezTo>
                      <a:pt x="826" y="2005"/>
                      <a:pt x="870" y="2018"/>
                      <a:pt x="760" y="2000"/>
                    </a:cubicBezTo>
                    <a:cubicBezTo>
                      <a:pt x="712" y="1968"/>
                      <a:pt x="659" y="1943"/>
                      <a:pt x="610" y="1910"/>
                    </a:cubicBezTo>
                    <a:cubicBezTo>
                      <a:pt x="579" y="1889"/>
                      <a:pt x="549" y="1856"/>
                      <a:pt x="510" y="1850"/>
                    </a:cubicBezTo>
                    <a:cubicBezTo>
                      <a:pt x="402" y="1835"/>
                      <a:pt x="424" y="1848"/>
                      <a:pt x="340" y="1830"/>
                    </a:cubicBezTo>
                    <a:cubicBezTo>
                      <a:pt x="303" y="1822"/>
                      <a:pt x="263" y="1818"/>
                      <a:pt x="230" y="1800"/>
                    </a:cubicBezTo>
                    <a:cubicBezTo>
                      <a:pt x="209" y="1788"/>
                      <a:pt x="190" y="1773"/>
                      <a:pt x="170" y="1760"/>
                    </a:cubicBezTo>
                    <a:cubicBezTo>
                      <a:pt x="160" y="1753"/>
                      <a:pt x="140" y="1740"/>
                      <a:pt x="140" y="1740"/>
                    </a:cubicBezTo>
                    <a:cubicBezTo>
                      <a:pt x="137" y="1713"/>
                      <a:pt x="124" y="1686"/>
                      <a:pt x="130" y="1660"/>
                    </a:cubicBezTo>
                    <a:cubicBezTo>
                      <a:pt x="140" y="1615"/>
                      <a:pt x="168" y="1601"/>
                      <a:pt x="200" y="1580"/>
                    </a:cubicBezTo>
                    <a:cubicBezTo>
                      <a:pt x="213" y="1560"/>
                      <a:pt x="244" y="1544"/>
                      <a:pt x="240" y="1520"/>
                    </a:cubicBezTo>
                    <a:cubicBezTo>
                      <a:pt x="234" y="1484"/>
                      <a:pt x="231" y="1428"/>
                      <a:pt x="200" y="1400"/>
                    </a:cubicBezTo>
                    <a:cubicBezTo>
                      <a:pt x="152" y="1358"/>
                      <a:pt x="137" y="1359"/>
                      <a:pt x="80" y="1340"/>
                    </a:cubicBezTo>
                    <a:cubicBezTo>
                      <a:pt x="70" y="1337"/>
                      <a:pt x="50" y="1330"/>
                      <a:pt x="50" y="1330"/>
                    </a:cubicBezTo>
                    <a:cubicBezTo>
                      <a:pt x="4" y="1261"/>
                      <a:pt x="18" y="1293"/>
                      <a:pt x="0" y="1240"/>
                    </a:cubicBezTo>
                    <a:cubicBezTo>
                      <a:pt x="14" y="1142"/>
                      <a:pt x="8" y="1155"/>
                      <a:pt x="90" y="1100"/>
                    </a:cubicBezTo>
                    <a:cubicBezTo>
                      <a:pt x="100" y="1093"/>
                      <a:pt x="110" y="1087"/>
                      <a:pt x="120" y="1080"/>
                    </a:cubicBezTo>
                    <a:cubicBezTo>
                      <a:pt x="138" y="1068"/>
                      <a:pt x="180" y="1060"/>
                      <a:pt x="180" y="1060"/>
                    </a:cubicBezTo>
                    <a:cubicBezTo>
                      <a:pt x="177" y="1043"/>
                      <a:pt x="174" y="1026"/>
                      <a:pt x="170" y="1010"/>
                    </a:cubicBezTo>
                    <a:cubicBezTo>
                      <a:pt x="164" y="990"/>
                      <a:pt x="150" y="950"/>
                      <a:pt x="150" y="950"/>
                    </a:cubicBezTo>
                    <a:cubicBezTo>
                      <a:pt x="153" y="940"/>
                      <a:pt x="155" y="929"/>
                      <a:pt x="160" y="920"/>
                    </a:cubicBezTo>
                    <a:cubicBezTo>
                      <a:pt x="165" y="909"/>
                      <a:pt x="175" y="901"/>
                      <a:pt x="180" y="890"/>
                    </a:cubicBezTo>
                    <a:cubicBezTo>
                      <a:pt x="228" y="783"/>
                      <a:pt x="175" y="868"/>
                      <a:pt x="220" y="800"/>
                    </a:cubicBezTo>
                    <a:cubicBezTo>
                      <a:pt x="234" y="743"/>
                      <a:pt x="248" y="712"/>
                      <a:pt x="290" y="670"/>
                    </a:cubicBezTo>
                    <a:cubicBezTo>
                      <a:pt x="293" y="660"/>
                      <a:pt x="295" y="649"/>
                      <a:pt x="300" y="640"/>
                    </a:cubicBezTo>
                    <a:cubicBezTo>
                      <a:pt x="305" y="629"/>
                      <a:pt x="316" y="621"/>
                      <a:pt x="320" y="610"/>
                    </a:cubicBezTo>
                    <a:cubicBezTo>
                      <a:pt x="331" y="581"/>
                      <a:pt x="333" y="550"/>
                      <a:pt x="340" y="520"/>
                    </a:cubicBezTo>
                    <a:cubicBezTo>
                      <a:pt x="343" y="423"/>
                      <a:pt x="341" y="326"/>
                      <a:pt x="350" y="230"/>
                    </a:cubicBezTo>
                    <a:cubicBezTo>
                      <a:pt x="353" y="200"/>
                      <a:pt x="421" y="166"/>
                      <a:pt x="430" y="160"/>
                    </a:cubicBezTo>
                    <a:cubicBezTo>
                      <a:pt x="465" y="136"/>
                      <a:pt x="475" y="94"/>
                      <a:pt x="510" y="70"/>
                    </a:cubicBezTo>
                    <a:cubicBezTo>
                      <a:pt x="519" y="64"/>
                      <a:pt x="575" y="51"/>
                      <a:pt x="580" y="50"/>
                    </a:cubicBezTo>
                    <a:cubicBezTo>
                      <a:pt x="649" y="4"/>
                      <a:pt x="617" y="18"/>
                      <a:pt x="670" y="0"/>
                    </a:cubicBezTo>
                    <a:cubicBezTo>
                      <a:pt x="733" y="11"/>
                      <a:pt x="750" y="10"/>
                      <a:pt x="720" y="10"/>
                    </a:cubicBezTo>
                    <a:close/>
                  </a:path>
                </a:pathLst>
              </a:custGeom>
              <a:solidFill>
                <a:schemeClr val="tx2">
                  <a:lumMod val="75000"/>
                </a:schemeClr>
              </a:solidFill>
              <a:ln w="21590" cap="flat" cmpd="sng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65" name="Freeform 72">
                <a:extLst>
                  <a:ext uri="{FF2B5EF4-FFF2-40B4-BE49-F238E27FC236}">
                    <a16:creationId xmlns:a16="http://schemas.microsoft.com/office/drawing/2014/main" id="{B77439D1-F1AE-4D42-84FF-0A386B96ED6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328" y="6795"/>
                <a:ext cx="1844" cy="1993"/>
              </a:xfrm>
              <a:custGeom>
                <a:avLst/>
                <a:gdLst>
                  <a:gd name="T0" fmla="*/ 18 w 831"/>
                  <a:gd name="T1" fmla="*/ 742 h 840"/>
                  <a:gd name="T2" fmla="*/ 71 w 831"/>
                  <a:gd name="T3" fmla="*/ 724 h 840"/>
                  <a:gd name="T4" fmla="*/ 107 w 831"/>
                  <a:gd name="T5" fmla="*/ 643 h 840"/>
                  <a:gd name="T6" fmla="*/ 161 w 831"/>
                  <a:gd name="T7" fmla="*/ 527 h 840"/>
                  <a:gd name="T8" fmla="*/ 241 w 831"/>
                  <a:gd name="T9" fmla="*/ 420 h 840"/>
                  <a:gd name="T10" fmla="*/ 304 w 831"/>
                  <a:gd name="T11" fmla="*/ 376 h 840"/>
                  <a:gd name="T12" fmla="*/ 313 w 831"/>
                  <a:gd name="T13" fmla="*/ 358 h 840"/>
                  <a:gd name="T14" fmla="*/ 321 w 831"/>
                  <a:gd name="T15" fmla="*/ 358 h 840"/>
                  <a:gd name="T16" fmla="*/ 339 w 831"/>
                  <a:gd name="T17" fmla="*/ 349 h 840"/>
                  <a:gd name="T18" fmla="*/ 357 w 831"/>
                  <a:gd name="T19" fmla="*/ 349 h 840"/>
                  <a:gd name="T20" fmla="*/ 375 w 831"/>
                  <a:gd name="T21" fmla="*/ 349 h 840"/>
                  <a:gd name="T22" fmla="*/ 393 w 831"/>
                  <a:gd name="T23" fmla="*/ 358 h 840"/>
                  <a:gd name="T24" fmla="*/ 411 w 831"/>
                  <a:gd name="T25" fmla="*/ 349 h 840"/>
                  <a:gd name="T26" fmla="*/ 411 w 831"/>
                  <a:gd name="T27" fmla="*/ 331 h 840"/>
                  <a:gd name="T28" fmla="*/ 420 w 831"/>
                  <a:gd name="T29" fmla="*/ 322 h 840"/>
                  <a:gd name="T30" fmla="*/ 420 w 831"/>
                  <a:gd name="T31" fmla="*/ 295 h 840"/>
                  <a:gd name="T32" fmla="*/ 411 w 831"/>
                  <a:gd name="T33" fmla="*/ 286 h 840"/>
                  <a:gd name="T34" fmla="*/ 411 w 831"/>
                  <a:gd name="T35" fmla="*/ 277 h 840"/>
                  <a:gd name="T36" fmla="*/ 420 w 831"/>
                  <a:gd name="T37" fmla="*/ 259 h 840"/>
                  <a:gd name="T38" fmla="*/ 420 w 831"/>
                  <a:gd name="T39" fmla="*/ 251 h 840"/>
                  <a:gd name="T40" fmla="*/ 420 w 831"/>
                  <a:gd name="T41" fmla="*/ 233 h 840"/>
                  <a:gd name="T42" fmla="*/ 411 w 831"/>
                  <a:gd name="T43" fmla="*/ 224 h 840"/>
                  <a:gd name="T44" fmla="*/ 420 w 831"/>
                  <a:gd name="T45" fmla="*/ 215 h 840"/>
                  <a:gd name="T46" fmla="*/ 429 w 831"/>
                  <a:gd name="T47" fmla="*/ 206 h 840"/>
                  <a:gd name="T48" fmla="*/ 446 w 831"/>
                  <a:gd name="T49" fmla="*/ 206 h 840"/>
                  <a:gd name="T50" fmla="*/ 455 w 831"/>
                  <a:gd name="T51" fmla="*/ 206 h 840"/>
                  <a:gd name="T52" fmla="*/ 446 w 831"/>
                  <a:gd name="T53" fmla="*/ 197 h 840"/>
                  <a:gd name="T54" fmla="*/ 446 w 831"/>
                  <a:gd name="T55" fmla="*/ 179 h 840"/>
                  <a:gd name="T56" fmla="*/ 446 w 831"/>
                  <a:gd name="T57" fmla="*/ 170 h 840"/>
                  <a:gd name="T58" fmla="*/ 455 w 831"/>
                  <a:gd name="T59" fmla="*/ 161 h 840"/>
                  <a:gd name="T60" fmla="*/ 464 w 831"/>
                  <a:gd name="T61" fmla="*/ 152 h 840"/>
                  <a:gd name="T62" fmla="*/ 482 w 831"/>
                  <a:gd name="T63" fmla="*/ 161 h 840"/>
                  <a:gd name="T64" fmla="*/ 491 w 831"/>
                  <a:gd name="T65" fmla="*/ 152 h 840"/>
                  <a:gd name="T66" fmla="*/ 491 w 831"/>
                  <a:gd name="T67" fmla="*/ 143 h 840"/>
                  <a:gd name="T68" fmla="*/ 482 w 831"/>
                  <a:gd name="T69" fmla="*/ 125 h 840"/>
                  <a:gd name="T70" fmla="*/ 473 w 831"/>
                  <a:gd name="T71" fmla="*/ 117 h 840"/>
                  <a:gd name="T72" fmla="*/ 464 w 831"/>
                  <a:gd name="T73" fmla="*/ 99 h 840"/>
                  <a:gd name="T74" fmla="*/ 473 w 831"/>
                  <a:gd name="T75" fmla="*/ 81 h 840"/>
                  <a:gd name="T76" fmla="*/ 482 w 831"/>
                  <a:gd name="T77" fmla="*/ 63 h 840"/>
                  <a:gd name="T78" fmla="*/ 500 w 831"/>
                  <a:gd name="T79" fmla="*/ 63 h 840"/>
                  <a:gd name="T80" fmla="*/ 509 w 831"/>
                  <a:gd name="T81" fmla="*/ 63 h 840"/>
                  <a:gd name="T82" fmla="*/ 527 w 831"/>
                  <a:gd name="T83" fmla="*/ 54 h 840"/>
                  <a:gd name="T84" fmla="*/ 536 w 831"/>
                  <a:gd name="T85" fmla="*/ 45 h 840"/>
                  <a:gd name="T86" fmla="*/ 536 w 831"/>
                  <a:gd name="T87" fmla="*/ 27 h 840"/>
                  <a:gd name="T88" fmla="*/ 536 w 831"/>
                  <a:gd name="T89" fmla="*/ 9 h 840"/>
                  <a:gd name="T90" fmla="*/ 563 w 831"/>
                  <a:gd name="T91" fmla="*/ 9 h 840"/>
                  <a:gd name="T92" fmla="*/ 625 w 831"/>
                  <a:gd name="T93" fmla="*/ 27 h 840"/>
                  <a:gd name="T94" fmla="*/ 670 w 831"/>
                  <a:gd name="T95" fmla="*/ 27 h 840"/>
                  <a:gd name="T96" fmla="*/ 706 w 831"/>
                  <a:gd name="T97" fmla="*/ 0 h 840"/>
                  <a:gd name="T98" fmla="*/ 750 w 831"/>
                  <a:gd name="T99" fmla="*/ 9 h 840"/>
                  <a:gd name="T100" fmla="*/ 786 w 831"/>
                  <a:gd name="T101" fmla="*/ 18 h 840"/>
                  <a:gd name="T102" fmla="*/ 831 w 831"/>
                  <a:gd name="T103" fmla="*/ 54 h 840"/>
                  <a:gd name="T104" fmla="*/ 786 w 831"/>
                  <a:gd name="T105" fmla="*/ 152 h 840"/>
                  <a:gd name="T106" fmla="*/ 679 w 831"/>
                  <a:gd name="T107" fmla="*/ 188 h 840"/>
                  <a:gd name="T108" fmla="*/ 732 w 831"/>
                  <a:gd name="T109" fmla="*/ 259 h 840"/>
                  <a:gd name="T110" fmla="*/ 643 w 831"/>
                  <a:gd name="T111" fmla="*/ 322 h 840"/>
                  <a:gd name="T112" fmla="*/ 491 w 831"/>
                  <a:gd name="T113" fmla="*/ 358 h 840"/>
                  <a:gd name="T114" fmla="*/ 500 w 831"/>
                  <a:gd name="T115" fmla="*/ 509 h 840"/>
                  <a:gd name="T116" fmla="*/ 464 w 831"/>
                  <a:gd name="T117" fmla="*/ 599 h 840"/>
                  <a:gd name="T118" fmla="*/ 446 w 831"/>
                  <a:gd name="T119" fmla="*/ 688 h 840"/>
                  <a:gd name="T120" fmla="*/ 330 w 831"/>
                  <a:gd name="T121" fmla="*/ 697 h 840"/>
                  <a:gd name="T122" fmla="*/ 268 w 831"/>
                  <a:gd name="T123" fmla="*/ 795 h 840"/>
                  <a:gd name="T124" fmla="*/ 107 w 831"/>
                  <a:gd name="T125" fmla="*/ 822 h 84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  <a:cxn ang="0">
                    <a:pos x="T124" y="T125"/>
                  </a:cxn>
                </a:cxnLst>
                <a:rect l="0" t="0" r="r" b="b"/>
                <a:pathLst>
                  <a:path w="831" h="840">
                    <a:moveTo>
                      <a:pt x="98" y="840"/>
                    </a:moveTo>
                    <a:lnTo>
                      <a:pt x="89" y="840"/>
                    </a:lnTo>
                    <a:lnTo>
                      <a:pt x="62" y="840"/>
                    </a:lnTo>
                    <a:lnTo>
                      <a:pt x="36" y="831"/>
                    </a:lnTo>
                    <a:lnTo>
                      <a:pt x="18" y="813"/>
                    </a:lnTo>
                    <a:lnTo>
                      <a:pt x="0" y="786"/>
                    </a:lnTo>
                    <a:lnTo>
                      <a:pt x="0" y="768"/>
                    </a:lnTo>
                    <a:lnTo>
                      <a:pt x="18" y="742"/>
                    </a:lnTo>
                    <a:lnTo>
                      <a:pt x="27" y="733"/>
                    </a:lnTo>
                    <a:lnTo>
                      <a:pt x="36" y="733"/>
                    </a:lnTo>
                    <a:lnTo>
                      <a:pt x="45" y="742"/>
                    </a:lnTo>
                    <a:lnTo>
                      <a:pt x="45" y="751"/>
                    </a:lnTo>
                    <a:lnTo>
                      <a:pt x="62" y="751"/>
                    </a:lnTo>
                    <a:lnTo>
                      <a:pt x="71" y="751"/>
                    </a:lnTo>
                    <a:lnTo>
                      <a:pt x="71" y="742"/>
                    </a:lnTo>
                    <a:lnTo>
                      <a:pt x="71" y="724"/>
                    </a:lnTo>
                    <a:lnTo>
                      <a:pt x="71" y="715"/>
                    </a:lnTo>
                    <a:lnTo>
                      <a:pt x="80" y="706"/>
                    </a:lnTo>
                    <a:lnTo>
                      <a:pt x="98" y="715"/>
                    </a:lnTo>
                    <a:lnTo>
                      <a:pt x="107" y="715"/>
                    </a:lnTo>
                    <a:lnTo>
                      <a:pt x="116" y="706"/>
                    </a:lnTo>
                    <a:lnTo>
                      <a:pt x="116" y="679"/>
                    </a:lnTo>
                    <a:lnTo>
                      <a:pt x="116" y="661"/>
                    </a:lnTo>
                    <a:lnTo>
                      <a:pt x="107" y="643"/>
                    </a:lnTo>
                    <a:lnTo>
                      <a:pt x="98" y="626"/>
                    </a:lnTo>
                    <a:lnTo>
                      <a:pt x="107" y="617"/>
                    </a:lnTo>
                    <a:lnTo>
                      <a:pt x="116" y="608"/>
                    </a:lnTo>
                    <a:lnTo>
                      <a:pt x="134" y="599"/>
                    </a:lnTo>
                    <a:lnTo>
                      <a:pt x="161" y="590"/>
                    </a:lnTo>
                    <a:lnTo>
                      <a:pt x="170" y="572"/>
                    </a:lnTo>
                    <a:lnTo>
                      <a:pt x="161" y="554"/>
                    </a:lnTo>
                    <a:lnTo>
                      <a:pt x="161" y="527"/>
                    </a:lnTo>
                    <a:lnTo>
                      <a:pt x="161" y="501"/>
                    </a:lnTo>
                    <a:lnTo>
                      <a:pt x="187" y="501"/>
                    </a:lnTo>
                    <a:lnTo>
                      <a:pt x="205" y="492"/>
                    </a:lnTo>
                    <a:lnTo>
                      <a:pt x="205" y="474"/>
                    </a:lnTo>
                    <a:lnTo>
                      <a:pt x="196" y="438"/>
                    </a:lnTo>
                    <a:lnTo>
                      <a:pt x="214" y="438"/>
                    </a:lnTo>
                    <a:lnTo>
                      <a:pt x="214" y="420"/>
                    </a:lnTo>
                    <a:lnTo>
                      <a:pt x="241" y="420"/>
                    </a:lnTo>
                    <a:lnTo>
                      <a:pt x="259" y="411"/>
                    </a:lnTo>
                    <a:lnTo>
                      <a:pt x="259" y="393"/>
                    </a:lnTo>
                    <a:lnTo>
                      <a:pt x="268" y="384"/>
                    </a:lnTo>
                    <a:lnTo>
                      <a:pt x="286" y="384"/>
                    </a:lnTo>
                    <a:lnTo>
                      <a:pt x="304" y="376"/>
                    </a:lnTo>
                    <a:lnTo>
                      <a:pt x="304" y="376"/>
                    </a:lnTo>
                    <a:lnTo>
                      <a:pt x="304" y="376"/>
                    </a:lnTo>
                    <a:lnTo>
                      <a:pt x="304" y="376"/>
                    </a:lnTo>
                    <a:lnTo>
                      <a:pt x="304" y="376"/>
                    </a:lnTo>
                    <a:lnTo>
                      <a:pt x="304" y="367"/>
                    </a:lnTo>
                    <a:lnTo>
                      <a:pt x="304" y="367"/>
                    </a:lnTo>
                    <a:lnTo>
                      <a:pt x="304" y="367"/>
                    </a:lnTo>
                    <a:lnTo>
                      <a:pt x="304" y="367"/>
                    </a:lnTo>
                    <a:lnTo>
                      <a:pt x="304" y="367"/>
                    </a:lnTo>
                    <a:lnTo>
                      <a:pt x="304" y="367"/>
                    </a:lnTo>
                    <a:lnTo>
                      <a:pt x="313" y="358"/>
                    </a:lnTo>
                    <a:lnTo>
                      <a:pt x="313" y="358"/>
                    </a:lnTo>
                    <a:lnTo>
                      <a:pt x="313" y="358"/>
                    </a:lnTo>
                    <a:lnTo>
                      <a:pt x="313" y="358"/>
                    </a:lnTo>
                    <a:lnTo>
                      <a:pt x="313" y="358"/>
                    </a:lnTo>
                    <a:lnTo>
                      <a:pt x="313" y="358"/>
                    </a:lnTo>
                    <a:lnTo>
                      <a:pt x="313" y="358"/>
                    </a:lnTo>
                    <a:lnTo>
                      <a:pt x="321" y="358"/>
                    </a:lnTo>
                    <a:lnTo>
                      <a:pt x="321" y="358"/>
                    </a:lnTo>
                    <a:lnTo>
                      <a:pt x="321" y="349"/>
                    </a:lnTo>
                    <a:lnTo>
                      <a:pt x="330" y="349"/>
                    </a:lnTo>
                    <a:lnTo>
                      <a:pt x="330" y="349"/>
                    </a:lnTo>
                    <a:lnTo>
                      <a:pt x="330" y="349"/>
                    </a:lnTo>
                    <a:lnTo>
                      <a:pt x="339" y="349"/>
                    </a:lnTo>
                    <a:lnTo>
                      <a:pt x="339" y="349"/>
                    </a:lnTo>
                    <a:lnTo>
                      <a:pt x="339" y="349"/>
                    </a:lnTo>
                    <a:lnTo>
                      <a:pt x="339" y="349"/>
                    </a:lnTo>
                    <a:lnTo>
                      <a:pt x="348" y="349"/>
                    </a:lnTo>
                    <a:lnTo>
                      <a:pt x="348" y="349"/>
                    </a:lnTo>
                    <a:lnTo>
                      <a:pt x="348" y="349"/>
                    </a:lnTo>
                    <a:lnTo>
                      <a:pt x="348" y="349"/>
                    </a:lnTo>
                    <a:lnTo>
                      <a:pt x="348" y="349"/>
                    </a:lnTo>
                    <a:lnTo>
                      <a:pt x="357" y="349"/>
                    </a:lnTo>
                    <a:lnTo>
                      <a:pt x="357" y="349"/>
                    </a:lnTo>
                    <a:lnTo>
                      <a:pt x="357" y="349"/>
                    </a:lnTo>
                    <a:lnTo>
                      <a:pt x="357" y="349"/>
                    </a:lnTo>
                    <a:lnTo>
                      <a:pt x="366" y="349"/>
                    </a:lnTo>
                    <a:lnTo>
                      <a:pt x="366" y="349"/>
                    </a:lnTo>
                    <a:lnTo>
                      <a:pt x="366" y="349"/>
                    </a:lnTo>
                    <a:lnTo>
                      <a:pt x="375" y="349"/>
                    </a:lnTo>
                    <a:lnTo>
                      <a:pt x="375" y="349"/>
                    </a:lnTo>
                    <a:lnTo>
                      <a:pt x="375" y="349"/>
                    </a:lnTo>
                    <a:lnTo>
                      <a:pt x="375" y="349"/>
                    </a:lnTo>
                    <a:lnTo>
                      <a:pt x="384" y="349"/>
                    </a:lnTo>
                    <a:lnTo>
                      <a:pt x="384" y="349"/>
                    </a:lnTo>
                    <a:lnTo>
                      <a:pt x="384" y="349"/>
                    </a:lnTo>
                    <a:lnTo>
                      <a:pt x="384" y="349"/>
                    </a:lnTo>
                    <a:lnTo>
                      <a:pt x="393" y="349"/>
                    </a:lnTo>
                    <a:lnTo>
                      <a:pt x="393" y="349"/>
                    </a:lnTo>
                    <a:lnTo>
                      <a:pt x="393" y="358"/>
                    </a:lnTo>
                    <a:lnTo>
                      <a:pt x="393" y="358"/>
                    </a:lnTo>
                    <a:lnTo>
                      <a:pt x="393" y="358"/>
                    </a:lnTo>
                    <a:lnTo>
                      <a:pt x="402" y="358"/>
                    </a:lnTo>
                    <a:lnTo>
                      <a:pt x="402" y="358"/>
                    </a:lnTo>
                    <a:lnTo>
                      <a:pt x="402" y="358"/>
                    </a:lnTo>
                    <a:lnTo>
                      <a:pt x="402" y="358"/>
                    </a:lnTo>
                    <a:lnTo>
                      <a:pt x="411" y="358"/>
                    </a:lnTo>
                    <a:lnTo>
                      <a:pt x="411" y="349"/>
                    </a:lnTo>
                    <a:lnTo>
                      <a:pt x="411" y="349"/>
                    </a:lnTo>
                    <a:lnTo>
                      <a:pt x="411" y="349"/>
                    </a:lnTo>
                    <a:lnTo>
                      <a:pt x="411" y="349"/>
                    </a:lnTo>
                    <a:lnTo>
                      <a:pt x="411" y="340"/>
                    </a:lnTo>
                    <a:lnTo>
                      <a:pt x="411" y="340"/>
                    </a:lnTo>
                    <a:lnTo>
                      <a:pt x="411" y="340"/>
                    </a:lnTo>
                    <a:lnTo>
                      <a:pt x="411" y="340"/>
                    </a:lnTo>
                    <a:lnTo>
                      <a:pt x="411" y="331"/>
                    </a:lnTo>
                    <a:lnTo>
                      <a:pt x="411" y="331"/>
                    </a:lnTo>
                    <a:lnTo>
                      <a:pt x="411" y="331"/>
                    </a:lnTo>
                    <a:lnTo>
                      <a:pt x="411" y="331"/>
                    </a:lnTo>
                    <a:lnTo>
                      <a:pt x="411" y="331"/>
                    </a:lnTo>
                    <a:lnTo>
                      <a:pt x="411" y="331"/>
                    </a:lnTo>
                    <a:lnTo>
                      <a:pt x="420" y="322"/>
                    </a:lnTo>
                    <a:lnTo>
                      <a:pt x="420" y="322"/>
                    </a:lnTo>
                    <a:lnTo>
                      <a:pt x="420" y="322"/>
                    </a:lnTo>
                    <a:lnTo>
                      <a:pt x="420" y="322"/>
                    </a:lnTo>
                    <a:lnTo>
                      <a:pt x="420" y="313"/>
                    </a:lnTo>
                    <a:lnTo>
                      <a:pt x="420" y="313"/>
                    </a:lnTo>
                    <a:lnTo>
                      <a:pt x="420" y="313"/>
                    </a:lnTo>
                    <a:lnTo>
                      <a:pt x="420" y="304"/>
                    </a:lnTo>
                    <a:lnTo>
                      <a:pt x="420" y="304"/>
                    </a:lnTo>
                    <a:lnTo>
                      <a:pt x="420" y="304"/>
                    </a:lnTo>
                    <a:lnTo>
                      <a:pt x="420" y="295"/>
                    </a:lnTo>
                    <a:lnTo>
                      <a:pt x="420" y="295"/>
                    </a:lnTo>
                    <a:lnTo>
                      <a:pt x="420" y="295"/>
                    </a:lnTo>
                    <a:lnTo>
                      <a:pt x="411" y="295"/>
                    </a:lnTo>
                    <a:lnTo>
                      <a:pt x="411" y="295"/>
                    </a:lnTo>
                    <a:lnTo>
                      <a:pt x="411" y="295"/>
                    </a:lnTo>
                    <a:lnTo>
                      <a:pt x="411" y="286"/>
                    </a:lnTo>
                    <a:lnTo>
                      <a:pt x="411" y="286"/>
                    </a:lnTo>
                    <a:lnTo>
                      <a:pt x="411" y="286"/>
                    </a:lnTo>
                    <a:lnTo>
                      <a:pt x="411" y="286"/>
                    </a:lnTo>
                    <a:lnTo>
                      <a:pt x="411" y="286"/>
                    </a:lnTo>
                    <a:lnTo>
                      <a:pt x="411" y="286"/>
                    </a:lnTo>
                    <a:lnTo>
                      <a:pt x="411" y="277"/>
                    </a:lnTo>
                    <a:lnTo>
                      <a:pt x="411" y="277"/>
                    </a:lnTo>
                    <a:lnTo>
                      <a:pt x="411" y="277"/>
                    </a:lnTo>
                    <a:lnTo>
                      <a:pt x="411" y="277"/>
                    </a:lnTo>
                    <a:lnTo>
                      <a:pt x="411" y="277"/>
                    </a:lnTo>
                    <a:lnTo>
                      <a:pt x="411" y="277"/>
                    </a:lnTo>
                    <a:lnTo>
                      <a:pt x="411" y="268"/>
                    </a:lnTo>
                    <a:lnTo>
                      <a:pt x="411" y="268"/>
                    </a:lnTo>
                    <a:lnTo>
                      <a:pt x="411" y="268"/>
                    </a:lnTo>
                    <a:lnTo>
                      <a:pt x="411" y="268"/>
                    </a:lnTo>
                    <a:lnTo>
                      <a:pt x="411" y="268"/>
                    </a:lnTo>
                    <a:lnTo>
                      <a:pt x="411" y="259"/>
                    </a:lnTo>
                    <a:lnTo>
                      <a:pt x="411" y="259"/>
                    </a:lnTo>
                    <a:lnTo>
                      <a:pt x="420" y="259"/>
                    </a:lnTo>
                    <a:lnTo>
                      <a:pt x="420" y="259"/>
                    </a:lnTo>
                    <a:lnTo>
                      <a:pt x="420" y="259"/>
                    </a:lnTo>
                    <a:lnTo>
                      <a:pt x="420" y="259"/>
                    </a:lnTo>
                    <a:lnTo>
                      <a:pt x="420" y="259"/>
                    </a:lnTo>
                    <a:lnTo>
                      <a:pt x="420" y="251"/>
                    </a:lnTo>
                    <a:lnTo>
                      <a:pt x="420" y="251"/>
                    </a:lnTo>
                    <a:lnTo>
                      <a:pt x="420" y="251"/>
                    </a:lnTo>
                    <a:lnTo>
                      <a:pt x="420" y="251"/>
                    </a:lnTo>
                    <a:lnTo>
                      <a:pt x="420" y="242"/>
                    </a:lnTo>
                    <a:lnTo>
                      <a:pt x="420" y="242"/>
                    </a:lnTo>
                    <a:lnTo>
                      <a:pt x="420" y="242"/>
                    </a:lnTo>
                    <a:lnTo>
                      <a:pt x="420" y="233"/>
                    </a:lnTo>
                    <a:lnTo>
                      <a:pt x="420" y="233"/>
                    </a:lnTo>
                    <a:lnTo>
                      <a:pt x="420" y="233"/>
                    </a:lnTo>
                    <a:lnTo>
                      <a:pt x="420" y="233"/>
                    </a:lnTo>
                    <a:lnTo>
                      <a:pt x="420" y="233"/>
                    </a:lnTo>
                    <a:lnTo>
                      <a:pt x="420" y="224"/>
                    </a:lnTo>
                    <a:lnTo>
                      <a:pt x="420" y="224"/>
                    </a:lnTo>
                    <a:lnTo>
                      <a:pt x="420" y="224"/>
                    </a:lnTo>
                    <a:lnTo>
                      <a:pt x="411" y="224"/>
                    </a:lnTo>
                    <a:lnTo>
                      <a:pt x="411" y="224"/>
                    </a:lnTo>
                    <a:lnTo>
                      <a:pt x="411" y="224"/>
                    </a:lnTo>
                    <a:lnTo>
                      <a:pt x="411" y="224"/>
                    </a:lnTo>
                    <a:lnTo>
                      <a:pt x="411" y="224"/>
                    </a:lnTo>
                    <a:lnTo>
                      <a:pt x="411" y="215"/>
                    </a:lnTo>
                    <a:lnTo>
                      <a:pt x="411" y="215"/>
                    </a:lnTo>
                    <a:lnTo>
                      <a:pt x="411" y="215"/>
                    </a:lnTo>
                    <a:lnTo>
                      <a:pt x="420" y="215"/>
                    </a:lnTo>
                    <a:lnTo>
                      <a:pt x="420" y="215"/>
                    </a:lnTo>
                    <a:lnTo>
                      <a:pt x="420" y="215"/>
                    </a:lnTo>
                    <a:lnTo>
                      <a:pt x="420" y="215"/>
                    </a:lnTo>
                    <a:lnTo>
                      <a:pt x="420" y="215"/>
                    </a:lnTo>
                    <a:lnTo>
                      <a:pt x="420" y="206"/>
                    </a:lnTo>
                    <a:lnTo>
                      <a:pt x="420" y="206"/>
                    </a:lnTo>
                    <a:lnTo>
                      <a:pt x="420" y="206"/>
                    </a:lnTo>
                    <a:lnTo>
                      <a:pt x="420" y="206"/>
                    </a:lnTo>
                    <a:lnTo>
                      <a:pt x="429" y="206"/>
                    </a:lnTo>
                    <a:lnTo>
                      <a:pt x="429" y="206"/>
                    </a:lnTo>
                    <a:lnTo>
                      <a:pt x="429" y="206"/>
                    </a:lnTo>
                    <a:lnTo>
                      <a:pt x="429" y="206"/>
                    </a:lnTo>
                    <a:lnTo>
                      <a:pt x="429" y="206"/>
                    </a:lnTo>
                    <a:lnTo>
                      <a:pt x="438" y="206"/>
                    </a:lnTo>
                    <a:lnTo>
                      <a:pt x="438" y="206"/>
                    </a:lnTo>
                    <a:lnTo>
                      <a:pt x="438" y="206"/>
                    </a:lnTo>
                    <a:lnTo>
                      <a:pt x="438" y="206"/>
                    </a:lnTo>
                    <a:lnTo>
                      <a:pt x="446" y="206"/>
                    </a:lnTo>
                    <a:lnTo>
                      <a:pt x="446" y="206"/>
                    </a:lnTo>
                    <a:lnTo>
                      <a:pt x="446" y="206"/>
                    </a:lnTo>
                    <a:lnTo>
                      <a:pt x="446" y="206"/>
                    </a:lnTo>
                    <a:lnTo>
                      <a:pt x="446" y="206"/>
                    </a:lnTo>
                    <a:lnTo>
                      <a:pt x="446" y="206"/>
                    </a:lnTo>
                    <a:lnTo>
                      <a:pt x="455" y="206"/>
                    </a:lnTo>
                    <a:lnTo>
                      <a:pt x="455" y="206"/>
                    </a:lnTo>
                    <a:lnTo>
                      <a:pt x="455" y="206"/>
                    </a:lnTo>
                    <a:lnTo>
                      <a:pt x="455" y="206"/>
                    </a:lnTo>
                    <a:lnTo>
                      <a:pt x="455" y="206"/>
                    </a:lnTo>
                    <a:lnTo>
                      <a:pt x="455" y="206"/>
                    </a:lnTo>
                    <a:lnTo>
                      <a:pt x="455" y="206"/>
                    </a:lnTo>
                    <a:lnTo>
                      <a:pt x="455" y="206"/>
                    </a:lnTo>
                    <a:lnTo>
                      <a:pt x="446" y="206"/>
                    </a:lnTo>
                    <a:lnTo>
                      <a:pt x="446" y="206"/>
                    </a:lnTo>
                    <a:lnTo>
                      <a:pt x="446" y="197"/>
                    </a:lnTo>
                    <a:lnTo>
                      <a:pt x="446" y="197"/>
                    </a:lnTo>
                    <a:lnTo>
                      <a:pt x="446" y="197"/>
                    </a:lnTo>
                    <a:lnTo>
                      <a:pt x="446" y="197"/>
                    </a:lnTo>
                    <a:lnTo>
                      <a:pt x="446" y="188"/>
                    </a:lnTo>
                    <a:lnTo>
                      <a:pt x="446" y="188"/>
                    </a:lnTo>
                    <a:lnTo>
                      <a:pt x="446" y="188"/>
                    </a:lnTo>
                    <a:lnTo>
                      <a:pt x="446" y="188"/>
                    </a:lnTo>
                    <a:lnTo>
                      <a:pt x="446" y="188"/>
                    </a:lnTo>
                    <a:lnTo>
                      <a:pt x="446" y="179"/>
                    </a:lnTo>
                    <a:lnTo>
                      <a:pt x="446" y="179"/>
                    </a:lnTo>
                    <a:lnTo>
                      <a:pt x="446" y="179"/>
                    </a:lnTo>
                    <a:lnTo>
                      <a:pt x="446" y="179"/>
                    </a:lnTo>
                    <a:lnTo>
                      <a:pt x="446" y="179"/>
                    </a:lnTo>
                    <a:lnTo>
                      <a:pt x="446" y="170"/>
                    </a:lnTo>
                    <a:lnTo>
                      <a:pt x="446" y="170"/>
                    </a:lnTo>
                    <a:lnTo>
                      <a:pt x="446" y="170"/>
                    </a:lnTo>
                    <a:lnTo>
                      <a:pt x="446" y="170"/>
                    </a:lnTo>
                    <a:lnTo>
                      <a:pt x="446" y="170"/>
                    </a:lnTo>
                    <a:lnTo>
                      <a:pt x="446" y="170"/>
                    </a:lnTo>
                    <a:lnTo>
                      <a:pt x="446" y="170"/>
                    </a:lnTo>
                    <a:lnTo>
                      <a:pt x="455" y="161"/>
                    </a:lnTo>
                    <a:lnTo>
                      <a:pt x="455" y="161"/>
                    </a:lnTo>
                    <a:lnTo>
                      <a:pt x="455" y="161"/>
                    </a:lnTo>
                    <a:lnTo>
                      <a:pt x="455" y="161"/>
                    </a:lnTo>
                    <a:lnTo>
                      <a:pt x="455" y="161"/>
                    </a:lnTo>
                    <a:lnTo>
                      <a:pt x="455" y="161"/>
                    </a:lnTo>
                    <a:lnTo>
                      <a:pt x="455" y="161"/>
                    </a:lnTo>
                    <a:lnTo>
                      <a:pt x="455" y="161"/>
                    </a:lnTo>
                    <a:lnTo>
                      <a:pt x="455" y="161"/>
                    </a:lnTo>
                    <a:lnTo>
                      <a:pt x="455" y="161"/>
                    </a:lnTo>
                    <a:lnTo>
                      <a:pt x="464" y="152"/>
                    </a:lnTo>
                    <a:lnTo>
                      <a:pt x="464" y="152"/>
                    </a:lnTo>
                    <a:lnTo>
                      <a:pt x="464" y="152"/>
                    </a:lnTo>
                    <a:lnTo>
                      <a:pt x="464" y="152"/>
                    </a:lnTo>
                    <a:lnTo>
                      <a:pt x="464" y="152"/>
                    </a:lnTo>
                    <a:lnTo>
                      <a:pt x="464" y="152"/>
                    </a:lnTo>
                    <a:lnTo>
                      <a:pt x="473" y="161"/>
                    </a:lnTo>
                    <a:lnTo>
                      <a:pt x="473" y="161"/>
                    </a:lnTo>
                    <a:lnTo>
                      <a:pt x="473" y="161"/>
                    </a:lnTo>
                    <a:lnTo>
                      <a:pt x="473" y="161"/>
                    </a:lnTo>
                    <a:lnTo>
                      <a:pt x="473" y="161"/>
                    </a:lnTo>
                    <a:lnTo>
                      <a:pt x="482" y="161"/>
                    </a:lnTo>
                    <a:lnTo>
                      <a:pt x="482" y="161"/>
                    </a:lnTo>
                    <a:lnTo>
                      <a:pt x="482" y="161"/>
                    </a:lnTo>
                    <a:lnTo>
                      <a:pt x="482" y="161"/>
                    </a:lnTo>
                    <a:lnTo>
                      <a:pt x="491" y="161"/>
                    </a:lnTo>
                    <a:lnTo>
                      <a:pt x="491" y="161"/>
                    </a:lnTo>
                    <a:lnTo>
                      <a:pt x="491" y="161"/>
                    </a:lnTo>
                    <a:lnTo>
                      <a:pt x="491" y="152"/>
                    </a:lnTo>
                    <a:lnTo>
                      <a:pt x="491" y="152"/>
                    </a:lnTo>
                    <a:lnTo>
                      <a:pt x="491" y="152"/>
                    </a:lnTo>
                    <a:lnTo>
                      <a:pt x="491" y="152"/>
                    </a:lnTo>
                    <a:lnTo>
                      <a:pt x="491" y="152"/>
                    </a:lnTo>
                    <a:lnTo>
                      <a:pt x="491" y="152"/>
                    </a:lnTo>
                    <a:lnTo>
                      <a:pt x="491" y="152"/>
                    </a:lnTo>
                    <a:lnTo>
                      <a:pt x="491" y="152"/>
                    </a:lnTo>
                    <a:lnTo>
                      <a:pt x="491" y="143"/>
                    </a:lnTo>
                    <a:lnTo>
                      <a:pt x="491" y="143"/>
                    </a:lnTo>
                    <a:lnTo>
                      <a:pt x="491" y="143"/>
                    </a:lnTo>
                    <a:lnTo>
                      <a:pt x="491" y="143"/>
                    </a:lnTo>
                    <a:lnTo>
                      <a:pt x="491" y="143"/>
                    </a:lnTo>
                    <a:lnTo>
                      <a:pt x="491" y="134"/>
                    </a:lnTo>
                    <a:lnTo>
                      <a:pt x="491" y="134"/>
                    </a:lnTo>
                    <a:lnTo>
                      <a:pt x="482" y="134"/>
                    </a:lnTo>
                    <a:lnTo>
                      <a:pt x="482" y="134"/>
                    </a:lnTo>
                    <a:lnTo>
                      <a:pt x="482" y="125"/>
                    </a:lnTo>
                    <a:lnTo>
                      <a:pt x="482" y="125"/>
                    </a:lnTo>
                    <a:lnTo>
                      <a:pt x="482" y="125"/>
                    </a:lnTo>
                    <a:lnTo>
                      <a:pt x="482" y="125"/>
                    </a:lnTo>
                    <a:lnTo>
                      <a:pt x="482" y="125"/>
                    </a:lnTo>
                    <a:lnTo>
                      <a:pt x="482" y="117"/>
                    </a:lnTo>
                    <a:lnTo>
                      <a:pt x="482" y="117"/>
                    </a:lnTo>
                    <a:lnTo>
                      <a:pt x="473" y="117"/>
                    </a:lnTo>
                    <a:lnTo>
                      <a:pt x="473" y="117"/>
                    </a:lnTo>
                    <a:lnTo>
                      <a:pt x="473" y="117"/>
                    </a:lnTo>
                    <a:lnTo>
                      <a:pt x="473" y="108"/>
                    </a:lnTo>
                    <a:lnTo>
                      <a:pt x="473" y="108"/>
                    </a:lnTo>
                    <a:lnTo>
                      <a:pt x="473" y="108"/>
                    </a:lnTo>
                    <a:lnTo>
                      <a:pt x="464" y="108"/>
                    </a:lnTo>
                    <a:lnTo>
                      <a:pt x="464" y="99"/>
                    </a:lnTo>
                    <a:lnTo>
                      <a:pt x="464" y="99"/>
                    </a:lnTo>
                    <a:lnTo>
                      <a:pt x="464" y="99"/>
                    </a:lnTo>
                    <a:lnTo>
                      <a:pt x="464" y="99"/>
                    </a:lnTo>
                    <a:lnTo>
                      <a:pt x="464" y="90"/>
                    </a:lnTo>
                    <a:lnTo>
                      <a:pt x="464" y="90"/>
                    </a:lnTo>
                    <a:lnTo>
                      <a:pt x="464" y="90"/>
                    </a:lnTo>
                    <a:lnTo>
                      <a:pt x="464" y="90"/>
                    </a:lnTo>
                    <a:lnTo>
                      <a:pt x="464" y="81"/>
                    </a:lnTo>
                    <a:lnTo>
                      <a:pt x="473" y="81"/>
                    </a:lnTo>
                    <a:lnTo>
                      <a:pt x="473" y="81"/>
                    </a:lnTo>
                    <a:lnTo>
                      <a:pt x="473" y="72"/>
                    </a:lnTo>
                    <a:lnTo>
                      <a:pt x="473" y="72"/>
                    </a:lnTo>
                    <a:lnTo>
                      <a:pt x="473" y="72"/>
                    </a:lnTo>
                    <a:lnTo>
                      <a:pt x="473" y="63"/>
                    </a:lnTo>
                    <a:lnTo>
                      <a:pt x="473" y="63"/>
                    </a:lnTo>
                    <a:lnTo>
                      <a:pt x="473" y="63"/>
                    </a:lnTo>
                    <a:lnTo>
                      <a:pt x="473" y="63"/>
                    </a:lnTo>
                    <a:lnTo>
                      <a:pt x="482" y="63"/>
                    </a:lnTo>
                    <a:lnTo>
                      <a:pt x="482" y="63"/>
                    </a:lnTo>
                    <a:lnTo>
                      <a:pt x="482" y="63"/>
                    </a:lnTo>
                    <a:lnTo>
                      <a:pt x="482" y="63"/>
                    </a:lnTo>
                    <a:lnTo>
                      <a:pt x="491" y="63"/>
                    </a:lnTo>
                    <a:lnTo>
                      <a:pt x="491" y="63"/>
                    </a:lnTo>
                    <a:lnTo>
                      <a:pt x="491" y="63"/>
                    </a:lnTo>
                    <a:lnTo>
                      <a:pt x="500" y="63"/>
                    </a:lnTo>
                    <a:lnTo>
                      <a:pt x="500" y="63"/>
                    </a:lnTo>
                    <a:lnTo>
                      <a:pt x="500" y="63"/>
                    </a:lnTo>
                    <a:lnTo>
                      <a:pt x="500" y="63"/>
                    </a:lnTo>
                    <a:lnTo>
                      <a:pt x="500" y="63"/>
                    </a:lnTo>
                    <a:lnTo>
                      <a:pt x="509" y="63"/>
                    </a:lnTo>
                    <a:lnTo>
                      <a:pt x="509" y="63"/>
                    </a:lnTo>
                    <a:lnTo>
                      <a:pt x="509" y="63"/>
                    </a:lnTo>
                    <a:lnTo>
                      <a:pt x="509" y="63"/>
                    </a:lnTo>
                    <a:lnTo>
                      <a:pt x="509" y="63"/>
                    </a:lnTo>
                    <a:lnTo>
                      <a:pt x="518" y="63"/>
                    </a:lnTo>
                    <a:lnTo>
                      <a:pt x="518" y="54"/>
                    </a:lnTo>
                    <a:lnTo>
                      <a:pt x="518" y="54"/>
                    </a:lnTo>
                    <a:lnTo>
                      <a:pt x="518" y="54"/>
                    </a:lnTo>
                    <a:lnTo>
                      <a:pt x="518" y="54"/>
                    </a:lnTo>
                    <a:lnTo>
                      <a:pt x="518" y="54"/>
                    </a:lnTo>
                    <a:lnTo>
                      <a:pt x="527" y="54"/>
                    </a:lnTo>
                    <a:lnTo>
                      <a:pt x="527" y="54"/>
                    </a:lnTo>
                    <a:lnTo>
                      <a:pt x="527" y="54"/>
                    </a:lnTo>
                    <a:lnTo>
                      <a:pt x="527" y="54"/>
                    </a:lnTo>
                    <a:lnTo>
                      <a:pt x="527" y="45"/>
                    </a:lnTo>
                    <a:lnTo>
                      <a:pt x="527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36"/>
                    </a:lnTo>
                    <a:lnTo>
                      <a:pt x="536" y="36"/>
                    </a:lnTo>
                    <a:lnTo>
                      <a:pt x="536" y="36"/>
                    </a:lnTo>
                    <a:lnTo>
                      <a:pt x="536" y="36"/>
                    </a:lnTo>
                    <a:lnTo>
                      <a:pt x="536" y="27"/>
                    </a:lnTo>
                    <a:lnTo>
                      <a:pt x="536" y="27"/>
                    </a:lnTo>
                    <a:lnTo>
                      <a:pt x="536" y="27"/>
                    </a:lnTo>
                    <a:lnTo>
                      <a:pt x="536" y="27"/>
                    </a:lnTo>
                    <a:lnTo>
                      <a:pt x="536" y="18"/>
                    </a:lnTo>
                    <a:lnTo>
                      <a:pt x="536" y="18"/>
                    </a:lnTo>
                    <a:lnTo>
                      <a:pt x="536" y="18"/>
                    </a:lnTo>
                    <a:lnTo>
                      <a:pt x="536" y="18"/>
                    </a:lnTo>
                    <a:lnTo>
                      <a:pt x="536" y="18"/>
                    </a:lnTo>
                    <a:lnTo>
                      <a:pt x="536" y="18"/>
                    </a:lnTo>
                    <a:lnTo>
                      <a:pt x="536" y="9"/>
                    </a:lnTo>
                    <a:lnTo>
                      <a:pt x="536" y="9"/>
                    </a:lnTo>
                    <a:lnTo>
                      <a:pt x="545" y="9"/>
                    </a:lnTo>
                    <a:lnTo>
                      <a:pt x="545" y="9"/>
                    </a:lnTo>
                    <a:lnTo>
                      <a:pt x="545" y="9"/>
                    </a:lnTo>
                    <a:lnTo>
                      <a:pt x="545" y="0"/>
                    </a:lnTo>
                    <a:lnTo>
                      <a:pt x="545" y="0"/>
                    </a:lnTo>
                    <a:lnTo>
                      <a:pt x="545" y="0"/>
                    </a:lnTo>
                    <a:lnTo>
                      <a:pt x="554" y="0"/>
                    </a:lnTo>
                    <a:lnTo>
                      <a:pt x="563" y="9"/>
                    </a:lnTo>
                    <a:lnTo>
                      <a:pt x="572" y="9"/>
                    </a:lnTo>
                    <a:lnTo>
                      <a:pt x="580" y="9"/>
                    </a:lnTo>
                    <a:lnTo>
                      <a:pt x="580" y="18"/>
                    </a:lnTo>
                    <a:lnTo>
                      <a:pt x="589" y="18"/>
                    </a:lnTo>
                    <a:lnTo>
                      <a:pt x="598" y="18"/>
                    </a:lnTo>
                    <a:lnTo>
                      <a:pt x="607" y="18"/>
                    </a:lnTo>
                    <a:lnTo>
                      <a:pt x="616" y="27"/>
                    </a:lnTo>
                    <a:lnTo>
                      <a:pt x="625" y="27"/>
                    </a:lnTo>
                    <a:lnTo>
                      <a:pt x="625" y="27"/>
                    </a:lnTo>
                    <a:lnTo>
                      <a:pt x="634" y="27"/>
                    </a:lnTo>
                    <a:lnTo>
                      <a:pt x="643" y="27"/>
                    </a:lnTo>
                    <a:lnTo>
                      <a:pt x="652" y="27"/>
                    </a:lnTo>
                    <a:lnTo>
                      <a:pt x="652" y="27"/>
                    </a:lnTo>
                    <a:lnTo>
                      <a:pt x="661" y="27"/>
                    </a:lnTo>
                    <a:lnTo>
                      <a:pt x="670" y="27"/>
                    </a:lnTo>
                    <a:lnTo>
                      <a:pt x="670" y="27"/>
                    </a:lnTo>
                    <a:lnTo>
                      <a:pt x="679" y="18"/>
                    </a:lnTo>
                    <a:lnTo>
                      <a:pt x="679" y="18"/>
                    </a:lnTo>
                    <a:lnTo>
                      <a:pt x="679" y="9"/>
                    </a:lnTo>
                    <a:lnTo>
                      <a:pt x="688" y="9"/>
                    </a:lnTo>
                    <a:lnTo>
                      <a:pt x="688" y="9"/>
                    </a:lnTo>
                    <a:lnTo>
                      <a:pt x="697" y="9"/>
                    </a:lnTo>
                    <a:lnTo>
                      <a:pt x="697" y="0"/>
                    </a:lnTo>
                    <a:lnTo>
                      <a:pt x="706" y="0"/>
                    </a:lnTo>
                    <a:lnTo>
                      <a:pt x="714" y="0"/>
                    </a:lnTo>
                    <a:lnTo>
                      <a:pt x="714" y="0"/>
                    </a:lnTo>
                    <a:lnTo>
                      <a:pt x="723" y="0"/>
                    </a:lnTo>
                    <a:lnTo>
                      <a:pt x="732" y="0"/>
                    </a:lnTo>
                    <a:lnTo>
                      <a:pt x="732" y="0"/>
                    </a:lnTo>
                    <a:lnTo>
                      <a:pt x="741" y="9"/>
                    </a:lnTo>
                    <a:lnTo>
                      <a:pt x="750" y="9"/>
                    </a:lnTo>
                    <a:lnTo>
                      <a:pt x="750" y="9"/>
                    </a:lnTo>
                    <a:lnTo>
                      <a:pt x="750" y="9"/>
                    </a:lnTo>
                    <a:lnTo>
                      <a:pt x="759" y="9"/>
                    </a:lnTo>
                    <a:lnTo>
                      <a:pt x="759" y="18"/>
                    </a:lnTo>
                    <a:lnTo>
                      <a:pt x="759" y="18"/>
                    </a:lnTo>
                    <a:lnTo>
                      <a:pt x="768" y="18"/>
                    </a:lnTo>
                    <a:lnTo>
                      <a:pt x="777" y="18"/>
                    </a:lnTo>
                    <a:lnTo>
                      <a:pt x="777" y="18"/>
                    </a:lnTo>
                    <a:lnTo>
                      <a:pt x="786" y="18"/>
                    </a:lnTo>
                    <a:lnTo>
                      <a:pt x="795" y="18"/>
                    </a:lnTo>
                    <a:lnTo>
                      <a:pt x="804" y="18"/>
                    </a:lnTo>
                    <a:lnTo>
                      <a:pt x="813" y="18"/>
                    </a:lnTo>
                    <a:lnTo>
                      <a:pt x="822" y="18"/>
                    </a:lnTo>
                    <a:lnTo>
                      <a:pt x="822" y="18"/>
                    </a:lnTo>
                    <a:lnTo>
                      <a:pt x="831" y="18"/>
                    </a:lnTo>
                    <a:lnTo>
                      <a:pt x="831" y="36"/>
                    </a:lnTo>
                    <a:lnTo>
                      <a:pt x="831" y="54"/>
                    </a:lnTo>
                    <a:lnTo>
                      <a:pt x="822" y="63"/>
                    </a:lnTo>
                    <a:lnTo>
                      <a:pt x="804" y="63"/>
                    </a:lnTo>
                    <a:lnTo>
                      <a:pt x="804" y="81"/>
                    </a:lnTo>
                    <a:lnTo>
                      <a:pt x="804" y="108"/>
                    </a:lnTo>
                    <a:lnTo>
                      <a:pt x="795" y="117"/>
                    </a:lnTo>
                    <a:lnTo>
                      <a:pt x="795" y="134"/>
                    </a:lnTo>
                    <a:lnTo>
                      <a:pt x="795" y="143"/>
                    </a:lnTo>
                    <a:lnTo>
                      <a:pt x="786" y="152"/>
                    </a:lnTo>
                    <a:lnTo>
                      <a:pt x="786" y="170"/>
                    </a:lnTo>
                    <a:lnTo>
                      <a:pt x="786" y="188"/>
                    </a:lnTo>
                    <a:lnTo>
                      <a:pt x="768" y="188"/>
                    </a:lnTo>
                    <a:lnTo>
                      <a:pt x="750" y="188"/>
                    </a:lnTo>
                    <a:lnTo>
                      <a:pt x="732" y="179"/>
                    </a:lnTo>
                    <a:lnTo>
                      <a:pt x="706" y="179"/>
                    </a:lnTo>
                    <a:lnTo>
                      <a:pt x="688" y="179"/>
                    </a:lnTo>
                    <a:lnTo>
                      <a:pt x="679" y="188"/>
                    </a:lnTo>
                    <a:lnTo>
                      <a:pt x="670" y="197"/>
                    </a:lnTo>
                    <a:lnTo>
                      <a:pt x="670" y="215"/>
                    </a:lnTo>
                    <a:lnTo>
                      <a:pt x="679" y="233"/>
                    </a:lnTo>
                    <a:lnTo>
                      <a:pt x="697" y="224"/>
                    </a:lnTo>
                    <a:lnTo>
                      <a:pt x="697" y="233"/>
                    </a:lnTo>
                    <a:lnTo>
                      <a:pt x="714" y="233"/>
                    </a:lnTo>
                    <a:lnTo>
                      <a:pt x="723" y="251"/>
                    </a:lnTo>
                    <a:lnTo>
                      <a:pt x="732" y="259"/>
                    </a:lnTo>
                    <a:lnTo>
                      <a:pt x="723" y="268"/>
                    </a:lnTo>
                    <a:lnTo>
                      <a:pt x="714" y="268"/>
                    </a:lnTo>
                    <a:lnTo>
                      <a:pt x="706" y="286"/>
                    </a:lnTo>
                    <a:lnTo>
                      <a:pt x="706" y="313"/>
                    </a:lnTo>
                    <a:lnTo>
                      <a:pt x="679" y="313"/>
                    </a:lnTo>
                    <a:lnTo>
                      <a:pt x="670" y="322"/>
                    </a:lnTo>
                    <a:lnTo>
                      <a:pt x="652" y="313"/>
                    </a:lnTo>
                    <a:lnTo>
                      <a:pt x="643" y="322"/>
                    </a:lnTo>
                    <a:lnTo>
                      <a:pt x="625" y="331"/>
                    </a:lnTo>
                    <a:lnTo>
                      <a:pt x="607" y="340"/>
                    </a:lnTo>
                    <a:lnTo>
                      <a:pt x="589" y="349"/>
                    </a:lnTo>
                    <a:lnTo>
                      <a:pt x="572" y="340"/>
                    </a:lnTo>
                    <a:lnTo>
                      <a:pt x="554" y="349"/>
                    </a:lnTo>
                    <a:lnTo>
                      <a:pt x="545" y="358"/>
                    </a:lnTo>
                    <a:lnTo>
                      <a:pt x="518" y="358"/>
                    </a:lnTo>
                    <a:lnTo>
                      <a:pt x="491" y="358"/>
                    </a:lnTo>
                    <a:lnTo>
                      <a:pt x="491" y="367"/>
                    </a:lnTo>
                    <a:lnTo>
                      <a:pt x="491" y="393"/>
                    </a:lnTo>
                    <a:lnTo>
                      <a:pt x="491" y="402"/>
                    </a:lnTo>
                    <a:lnTo>
                      <a:pt x="500" y="411"/>
                    </a:lnTo>
                    <a:lnTo>
                      <a:pt x="509" y="429"/>
                    </a:lnTo>
                    <a:lnTo>
                      <a:pt x="518" y="447"/>
                    </a:lnTo>
                    <a:lnTo>
                      <a:pt x="509" y="474"/>
                    </a:lnTo>
                    <a:lnTo>
                      <a:pt x="500" y="509"/>
                    </a:lnTo>
                    <a:lnTo>
                      <a:pt x="491" y="527"/>
                    </a:lnTo>
                    <a:lnTo>
                      <a:pt x="491" y="536"/>
                    </a:lnTo>
                    <a:lnTo>
                      <a:pt x="473" y="545"/>
                    </a:lnTo>
                    <a:lnTo>
                      <a:pt x="455" y="554"/>
                    </a:lnTo>
                    <a:lnTo>
                      <a:pt x="446" y="563"/>
                    </a:lnTo>
                    <a:lnTo>
                      <a:pt x="446" y="581"/>
                    </a:lnTo>
                    <a:lnTo>
                      <a:pt x="446" y="599"/>
                    </a:lnTo>
                    <a:lnTo>
                      <a:pt x="464" y="599"/>
                    </a:lnTo>
                    <a:lnTo>
                      <a:pt x="464" y="608"/>
                    </a:lnTo>
                    <a:lnTo>
                      <a:pt x="464" y="634"/>
                    </a:lnTo>
                    <a:lnTo>
                      <a:pt x="446" y="634"/>
                    </a:lnTo>
                    <a:lnTo>
                      <a:pt x="438" y="634"/>
                    </a:lnTo>
                    <a:lnTo>
                      <a:pt x="446" y="652"/>
                    </a:lnTo>
                    <a:lnTo>
                      <a:pt x="455" y="670"/>
                    </a:lnTo>
                    <a:lnTo>
                      <a:pt x="455" y="688"/>
                    </a:lnTo>
                    <a:lnTo>
                      <a:pt x="446" y="688"/>
                    </a:lnTo>
                    <a:lnTo>
                      <a:pt x="420" y="679"/>
                    </a:lnTo>
                    <a:lnTo>
                      <a:pt x="402" y="697"/>
                    </a:lnTo>
                    <a:lnTo>
                      <a:pt x="384" y="688"/>
                    </a:lnTo>
                    <a:lnTo>
                      <a:pt x="366" y="688"/>
                    </a:lnTo>
                    <a:lnTo>
                      <a:pt x="357" y="688"/>
                    </a:lnTo>
                    <a:lnTo>
                      <a:pt x="348" y="697"/>
                    </a:lnTo>
                    <a:lnTo>
                      <a:pt x="348" y="697"/>
                    </a:lnTo>
                    <a:lnTo>
                      <a:pt x="330" y="697"/>
                    </a:lnTo>
                    <a:lnTo>
                      <a:pt x="321" y="706"/>
                    </a:lnTo>
                    <a:lnTo>
                      <a:pt x="321" y="724"/>
                    </a:lnTo>
                    <a:lnTo>
                      <a:pt x="313" y="742"/>
                    </a:lnTo>
                    <a:lnTo>
                      <a:pt x="304" y="751"/>
                    </a:lnTo>
                    <a:lnTo>
                      <a:pt x="286" y="759"/>
                    </a:lnTo>
                    <a:lnTo>
                      <a:pt x="277" y="759"/>
                    </a:lnTo>
                    <a:lnTo>
                      <a:pt x="268" y="777"/>
                    </a:lnTo>
                    <a:lnTo>
                      <a:pt x="268" y="795"/>
                    </a:lnTo>
                    <a:lnTo>
                      <a:pt x="268" y="813"/>
                    </a:lnTo>
                    <a:lnTo>
                      <a:pt x="250" y="813"/>
                    </a:lnTo>
                    <a:lnTo>
                      <a:pt x="223" y="813"/>
                    </a:lnTo>
                    <a:lnTo>
                      <a:pt x="196" y="813"/>
                    </a:lnTo>
                    <a:lnTo>
                      <a:pt x="170" y="813"/>
                    </a:lnTo>
                    <a:lnTo>
                      <a:pt x="143" y="813"/>
                    </a:lnTo>
                    <a:lnTo>
                      <a:pt x="116" y="813"/>
                    </a:lnTo>
                    <a:lnTo>
                      <a:pt x="107" y="822"/>
                    </a:lnTo>
                    <a:lnTo>
                      <a:pt x="107" y="831"/>
                    </a:lnTo>
                    <a:lnTo>
                      <a:pt x="98" y="840"/>
                    </a:lnTo>
                  </a:path>
                </a:pathLst>
              </a:custGeom>
              <a:solidFill>
                <a:srgbClr val="8EB4E3"/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</xdr:grpSp>
        <xdr:sp macro="" textlink="">
          <xdr:nvSpPr>
            <xdr:cNvPr id="20" name="Text Box 35">
              <a:extLst>
                <a:ext uri="{FF2B5EF4-FFF2-40B4-BE49-F238E27FC236}">
                  <a16:creationId xmlns:a16="http://schemas.microsoft.com/office/drawing/2014/main" id="{BEC91913-6D6D-41F7-800E-1BBDEE888F7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26" y="9177"/>
              <a:ext cx="1015" cy="57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BRZOZÓW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94,8 proc.</a:t>
              </a:r>
            </a:p>
          </xdr:txBody>
        </xdr:sp>
        <xdr:sp macro="" textlink="">
          <xdr:nvSpPr>
            <xdr:cNvPr id="21" name="Text Box 41">
              <a:extLst>
                <a:ext uri="{FF2B5EF4-FFF2-40B4-BE49-F238E27FC236}">
                  <a16:creationId xmlns:a16="http://schemas.microsoft.com/office/drawing/2014/main" id="{DED3F90F-6DE4-4762-8414-909613DC2DE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432" y="6552"/>
              <a:ext cx="863" cy="57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LEŻJSK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81,0 proc.</a:t>
              </a:r>
            </a:p>
          </xdr:txBody>
        </xdr:sp>
        <xdr:sp macro="" textlink="">
          <xdr:nvSpPr>
            <xdr:cNvPr id="22" name="Text Box 43">
              <a:extLst>
                <a:ext uri="{FF2B5EF4-FFF2-40B4-BE49-F238E27FC236}">
                  <a16:creationId xmlns:a16="http://schemas.microsoft.com/office/drawing/2014/main" id="{6272E68F-5848-4242-9027-7025F5C4C777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918" y="7237"/>
              <a:ext cx="985" cy="57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ŁAŃCUT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85,3 proc.</a:t>
              </a:r>
            </a:p>
          </xdr:txBody>
        </xdr:sp>
        <xdr:sp macro="" textlink="">
          <xdr:nvSpPr>
            <xdr:cNvPr id="23" name="Text Box 38">
              <a:extLst>
                <a:ext uri="{FF2B5EF4-FFF2-40B4-BE49-F238E27FC236}">
                  <a16:creationId xmlns:a16="http://schemas.microsoft.com/office/drawing/2014/main" id="{D2AF8C4B-D71D-46EC-89B0-3933CD3AD52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82" y="4661"/>
              <a:ext cx="1089" cy="71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STALOWA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WOLA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88,9 proc.</a:t>
              </a:r>
            </a:p>
          </xdr:txBody>
        </xdr:sp>
        <xdr:sp macro="" textlink="">
          <xdr:nvSpPr>
            <xdr:cNvPr id="24" name="Text Box 39">
              <a:extLst>
                <a:ext uri="{FF2B5EF4-FFF2-40B4-BE49-F238E27FC236}">
                  <a16:creationId xmlns:a16="http://schemas.microsoft.com/office/drawing/2014/main" id="{666C0B62-72EB-47E9-8ED0-496FF38307F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395" y="5481"/>
              <a:ext cx="1387" cy="45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TARNOBRZEG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91,8 proc.</a:t>
              </a:r>
            </a:p>
          </xdr:txBody>
        </xdr:sp>
        <xdr:sp macro="" textlink="">
          <xdr:nvSpPr>
            <xdr:cNvPr id="25" name="Text Box 40">
              <a:extLst>
                <a:ext uri="{FF2B5EF4-FFF2-40B4-BE49-F238E27FC236}">
                  <a16:creationId xmlns:a16="http://schemas.microsoft.com/office/drawing/2014/main" id="{ED130FBD-BBE4-49DB-B5E7-836154D5267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938" y="5641"/>
              <a:ext cx="902" cy="5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rgbClr val="000000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 NISKO</a:t>
              </a:r>
              <a:endParaRPr lang="pl-PL" sz="900" b="0">
                <a:effectLst/>
                <a:latin typeface="Cambria" panose="02040503050406030204" pitchFamily="18" charset="0"/>
                <a:ea typeface="Cambria" panose="02040503050406030204" pitchFamily="18" charset="0"/>
                <a:cs typeface="Times New Roman" panose="02020603050405020304" pitchFamily="18" charset="0"/>
              </a:endParaRP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rgbClr val="000000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 77,7</a:t>
              </a:r>
              <a:r>
                <a:rPr lang="pl-PL" sz="900" b="0" baseline="0">
                  <a:solidFill>
                    <a:srgbClr val="000000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 </a:t>
              </a:r>
              <a:r>
                <a:rPr lang="pl-PL" sz="900" b="0">
                  <a:solidFill>
                    <a:srgbClr val="000000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proc.</a:t>
              </a:r>
              <a:endParaRPr lang="pl-PL" sz="900" b="0">
                <a:effectLst/>
                <a:latin typeface="Cambria" panose="02040503050406030204" pitchFamily="18" charset="0"/>
                <a:ea typeface="Cambria" panose="020405030504060302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26" name="Text Box 42">
              <a:extLst>
                <a:ext uri="{FF2B5EF4-FFF2-40B4-BE49-F238E27FC236}">
                  <a16:creationId xmlns:a16="http://schemas.microsoft.com/office/drawing/2014/main" id="{3D45A936-5BA6-4248-BAA4-1FB031A09DA7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54" y="6844"/>
              <a:ext cx="1131" cy="57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LUBACZÓW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91,5 proc.</a:t>
              </a:r>
            </a:p>
          </xdr:txBody>
        </xdr:sp>
        <xdr:sp macro="" textlink="">
          <xdr:nvSpPr>
            <xdr:cNvPr id="27" name="Text Box 44">
              <a:extLst>
                <a:ext uri="{FF2B5EF4-FFF2-40B4-BE49-F238E27FC236}">
                  <a16:creationId xmlns:a16="http://schemas.microsoft.com/office/drawing/2014/main" id="{FD479FEA-442F-41CC-B58F-73D277E58C9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271" y="7780"/>
              <a:ext cx="1529" cy="577"/>
            </a:xfrm>
            <a:prstGeom prst="rect">
              <a:avLst/>
            </a:prstGeom>
            <a:noFill/>
            <a:ln>
              <a:noFill/>
            </a:ln>
            <a:scene3d>
              <a:camera prst="orthographicFront">
                <a:rot lat="0" lon="0" rev="0"/>
              </a:camera>
              <a:lightRig rig="threePt" dir="t"/>
            </a:scene3d>
            <a:sp3d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PRZEWORSK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    82,1 proc.</a:t>
              </a:r>
            </a:p>
          </xdr:txBody>
        </xdr:sp>
        <xdr:sp macro="" textlink="">
          <xdr:nvSpPr>
            <xdr:cNvPr id="28" name="Text Box 27">
              <a:extLst>
                <a:ext uri="{FF2B5EF4-FFF2-40B4-BE49-F238E27FC236}">
                  <a16:creationId xmlns:a16="http://schemas.microsoft.com/office/drawing/2014/main" id="{3729250A-A843-4355-A48D-7EAE7965E89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311" y="6535"/>
              <a:ext cx="956" cy="51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 spc="0" baseline="0">
                  <a:solidFill>
                    <a:schemeClr val="tx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MIELEC</a:t>
              </a:r>
            </a:p>
            <a:p>
              <a:pPr>
                <a:lnSpc>
                  <a:spcPct val="100000"/>
                </a:lnSpc>
                <a:spcAft>
                  <a:spcPts val="1000"/>
                </a:spcAft>
              </a:pPr>
              <a:r>
                <a:rPr lang="pl-PL" sz="900" b="0" spc="0" baseline="0">
                  <a:solidFill>
                    <a:schemeClr val="tx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83,1 proc.</a:t>
              </a:r>
            </a:p>
          </xdr:txBody>
        </xdr:sp>
        <xdr:sp macro="" textlink="">
          <xdr:nvSpPr>
            <xdr:cNvPr id="29" name="Text Box 28">
              <a:extLst>
                <a:ext uri="{FF2B5EF4-FFF2-40B4-BE49-F238E27FC236}">
                  <a16:creationId xmlns:a16="http://schemas.microsoft.com/office/drawing/2014/main" id="{EAE3A361-AA63-4126-BE1C-74C64EF4E5F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307" y="6570"/>
              <a:ext cx="1256" cy="48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KOLBUSZOWA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87,1 proc.</a:t>
              </a:r>
            </a:p>
          </xdr:txBody>
        </xdr:sp>
        <xdr:sp macro="" textlink="">
          <xdr:nvSpPr>
            <xdr:cNvPr id="30" name="Text Box 30">
              <a:extLst>
                <a:ext uri="{FF2B5EF4-FFF2-40B4-BE49-F238E27FC236}">
                  <a16:creationId xmlns:a16="http://schemas.microsoft.com/office/drawing/2014/main" id="{580E61AD-71D8-4E33-B4EE-0C6F5B5A3EF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080" y="7697"/>
              <a:ext cx="1050" cy="54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rgbClr val="000000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ROPCZYCE</a:t>
              </a:r>
              <a:endParaRPr lang="pl-PL" sz="900" b="0">
                <a:effectLst/>
                <a:latin typeface="Cambria" panose="02040503050406030204" pitchFamily="18" charset="0"/>
                <a:ea typeface="Cambria" panose="02040503050406030204" pitchFamily="18" charset="0"/>
                <a:cs typeface="Times New Roman" panose="02020603050405020304" pitchFamily="18" charset="0"/>
              </a:endParaRP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rgbClr val="000000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  83,2 proc.</a:t>
              </a:r>
              <a:endParaRPr lang="pl-PL" sz="900" b="0">
                <a:effectLst/>
                <a:latin typeface="Cambria" panose="02040503050406030204" pitchFamily="18" charset="0"/>
                <a:ea typeface="Cambria" panose="020405030504060302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31" name="Text Box 29">
              <a:extLst>
                <a:ext uri="{FF2B5EF4-FFF2-40B4-BE49-F238E27FC236}">
                  <a16:creationId xmlns:a16="http://schemas.microsoft.com/office/drawing/2014/main" id="{23D3C6A8-C2B3-4EF0-A2F9-C4A5C052001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091" y="7795"/>
              <a:ext cx="865" cy="60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DĘBICA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87,3 proc.</a:t>
              </a:r>
            </a:p>
          </xdr:txBody>
        </xdr:sp>
        <xdr:sp macro="" textlink="">
          <xdr:nvSpPr>
            <xdr:cNvPr id="32" name="Text Box 31">
              <a:extLst>
                <a:ext uri="{FF2B5EF4-FFF2-40B4-BE49-F238E27FC236}">
                  <a16:creationId xmlns:a16="http://schemas.microsoft.com/office/drawing/2014/main" id="{A8FA86A6-648B-4B9E-9CC3-9E23E82EF0E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398" y="8544"/>
              <a:ext cx="1151" cy="45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STRZYŻÓW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   89,8 proc.</a:t>
              </a:r>
            </a:p>
          </xdr:txBody>
        </xdr:sp>
        <xdr:sp macro="" textlink="">
          <xdr:nvSpPr>
            <xdr:cNvPr id="33" name="Text Box 32">
              <a:extLst>
                <a:ext uri="{FF2B5EF4-FFF2-40B4-BE49-F238E27FC236}">
                  <a16:creationId xmlns:a16="http://schemas.microsoft.com/office/drawing/2014/main" id="{8A631F5E-327C-4A7A-9289-C4ACE724099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48" y="9097"/>
              <a:ext cx="983" cy="5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JASŁO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88,1 proc.</a:t>
              </a:r>
            </a:p>
          </xdr:txBody>
        </xdr:sp>
        <xdr:sp macro="" textlink="">
          <xdr:nvSpPr>
            <xdr:cNvPr id="34" name="Text Box 36">
              <a:extLst>
                <a:ext uri="{FF2B5EF4-FFF2-40B4-BE49-F238E27FC236}">
                  <a16:creationId xmlns:a16="http://schemas.microsoft.com/office/drawing/2014/main" id="{F2E91B20-4500-449F-819C-881EA7121D7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56" y="11146"/>
              <a:ext cx="1008" cy="57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LESKO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Cambria"/>
                  <a:ea typeface="Calibri"/>
                  <a:cs typeface="Arial"/>
                </a:rPr>
                <a:t>90,5 proc.</a:t>
              </a:r>
              <a:endParaRPr lang="pl-PL" sz="900" b="0">
                <a:solidFill>
                  <a:schemeClr val="bg1"/>
                </a:solidFill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5" name="Text Box 37">
              <a:extLst>
                <a:ext uri="{FF2B5EF4-FFF2-40B4-BE49-F238E27FC236}">
                  <a16:creationId xmlns:a16="http://schemas.microsoft.com/office/drawing/2014/main" id="{D4F0238B-5892-472B-8A5E-398F795FC4A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447" y="10131"/>
              <a:ext cx="952" cy="57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SANOK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85,7 proc.</a:t>
              </a:r>
            </a:p>
          </xdr:txBody>
        </xdr:sp>
        <xdr:sp macro="" textlink="">
          <xdr:nvSpPr>
            <xdr:cNvPr id="36" name="Text Box 75">
              <a:extLst>
                <a:ext uri="{FF2B5EF4-FFF2-40B4-BE49-F238E27FC236}">
                  <a16:creationId xmlns:a16="http://schemas.microsoft.com/office/drawing/2014/main" id="{818A0565-C455-427B-A38D-2A0E62A9445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428" y="9926"/>
              <a:ext cx="871" cy="45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KROSNO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89,6 proc.</a:t>
              </a:r>
            </a:p>
          </xdr:txBody>
        </xdr:sp>
        <xdr:sp macro="" textlink="">
          <xdr:nvSpPr>
            <xdr:cNvPr id="37" name="Text Box 25">
              <a:extLst>
                <a:ext uri="{FF2B5EF4-FFF2-40B4-BE49-F238E27FC236}">
                  <a16:creationId xmlns:a16="http://schemas.microsoft.com/office/drawing/2014/main" id="{83933EFE-FBB5-4283-A802-8DD356A632BC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375" y="7768"/>
              <a:ext cx="1260" cy="57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JAROSŁAW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94,7 proc.</a:t>
              </a:r>
            </a:p>
          </xdr:txBody>
        </xdr:sp>
        <xdr:sp macro="" textlink="">
          <xdr:nvSpPr>
            <xdr:cNvPr id="38" name="Text Box 34">
              <a:extLst>
                <a:ext uri="{FF2B5EF4-FFF2-40B4-BE49-F238E27FC236}">
                  <a16:creationId xmlns:a16="http://schemas.microsoft.com/office/drawing/2014/main" id="{0806F5E5-ED32-4AEB-AFDB-14936554A3C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837" y="10752"/>
              <a:ext cx="985" cy="93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800" b="0">
                  <a:solidFill>
                    <a:schemeClr val="bg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USTRZYKI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800" b="0">
                  <a:solidFill>
                    <a:schemeClr val="bg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DOLNE   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800" b="0">
                  <a:solidFill>
                    <a:schemeClr val="bg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 91,5 proc.</a:t>
              </a:r>
            </a:p>
          </xdr:txBody>
        </xdr:sp>
        <xdr:sp macro="" textlink="">
          <xdr:nvSpPr>
            <xdr:cNvPr id="39" name="Text Box 76">
              <a:extLst>
                <a:ext uri="{FF2B5EF4-FFF2-40B4-BE49-F238E27FC236}">
                  <a16:creationId xmlns:a16="http://schemas.microsoft.com/office/drawing/2014/main" id="{0B2B6785-8415-439C-8627-56856D91A447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43" y="8175"/>
              <a:ext cx="1111" cy="50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1000" b="0">
                  <a:solidFill>
                    <a:schemeClr val="tx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RZESZÓW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1000" b="0">
                  <a:solidFill>
                    <a:schemeClr val="tx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76,3 proc.</a:t>
              </a:r>
            </a:p>
          </xdr:txBody>
        </xdr:sp>
        <xdr:sp macro="" textlink="">
          <xdr:nvSpPr>
            <xdr:cNvPr id="40" name="Text Box 77">
              <a:extLst>
                <a:ext uri="{FF2B5EF4-FFF2-40B4-BE49-F238E27FC236}">
                  <a16:creationId xmlns:a16="http://schemas.microsoft.com/office/drawing/2014/main" id="{EE838412-90B0-4B2E-B7C3-248111FB1B5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673" y="9032"/>
              <a:ext cx="1039" cy="45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PRZEMYŚL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93,7 proc.</a:t>
              </a:r>
            </a:p>
          </xdr:txBody>
        </xdr:sp>
      </xdr:grpSp>
      <xdr:grpSp>
        <xdr:nvGrpSpPr>
          <xdr:cNvPr id="4" name="Group 124">
            <a:extLst>
              <a:ext uri="{FF2B5EF4-FFF2-40B4-BE49-F238E27FC236}">
                <a16:creationId xmlns:a16="http://schemas.microsoft.com/office/drawing/2014/main" id="{81E1DD95-3E89-41CE-AC21-A011ABF542AA}"/>
              </a:ext>
            </a:extLst>
          </xdr:cNvPr>
          <xdr:cNvGrpSpPr>
            <a:grpSpLocks/>
          </xdr:cNvGrpSpPr>
        </xdr:nvGrpSpPr>
        <xdr:grpSpPr bwMode="auto">
          <a:xfrm>
            <a:off x="5038725" y="5657850"/>
            <a:ext cx="2628900" cy="846455"/>
            <a:chOff x="1860" y="12966"/>
            <a:chExt cx="4140" cy="1333"/>
          </a:xfrm>
        </xdr:grpSpPr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565BC633-B744-42E3-8A0B-613B116F0A1F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151" y="13359"/>
              <a:ext cx="2868" cy="210"/>
              <a:chOff x="1815" y="14424"/>
              <a:chExt cx="2868" cy="210"/>
            </a:xfrm>
          </xdr:grpSpPr>
          <xdr:sp macro="" textlink="">
            <xdr:nvSpPr>
              <xdr:cNvPr id="14" name="Rectangle 5">
                <a:extLst>
                  <a:ext uri="{FF2B5EF4-FFF2-40B4-BE49-F238E27FC236}">
                    <a16:creationId xmlns:a16="http://schemas.microsoft.com/office/drawing/2014/main" id="{76AC7E07-1912-408B-8BDE-EA870B27C4B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113" y="14424"/>
                <a:ext cx="570" cy="210"/>
              </a:xfrm>
              <a:prstGeom prst="rect">
                <a:avLst/>
              </a:prstGeom>
              <a:solidFill>
                <a:schemeClr val="tx1"/>
              </a:solidFill>
              <a:ln w="3175">
                <a:solidFill>
                  <a:srgbClr val="FFFFFF"/>
                </a:solidFill>
                <a:miter lim="800000"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15" name="Rectangle 6">
                <a:extLst>
                  <a:ext uri="{FF2B5EF4-FFF2-40B4-BE49-F238E27FC236}">
                    <a16:creationId xmlns:a16="http://schemas.microsoft.com/office/drawing/2014/main" id="{18DE235D-C8D6-48F0-A89D-62E92E200026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537" y="14424"/>
                <a:ext cx="570" cy="210"/>
              </a:xfrm>
              <a:prstGeom prst="rect">
                <a:avLst/>
              </a:prstGeom>
              <a:solidFill>
                <a:schemeClr val="tx2">
                  <a:lumMod val="75000"/>
                </a:schemeClr>
              </a:solidFill>
              <a:ln w="3175">
                <a:solidFill>
                  <a:srgbClr val="FFFFFF"/>
                </a:solidFill>
                <a:miter lim="800000"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16" name="Rectangle 7">
                <a:extLst>
                  <a:ext uri="{FF2B5EF4-FFF2-40B4-BE49-F238E27FC236}">
                    <a16:creationId xmlns:a16="http://schemas.microsoft.com/office/drawing/2014/main" id="{6BA7B06D-3E87-418F-848D-45678C035DD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949" y="14424"/>
                <a:ext cx="585" cy="210"/>
              </a:xfrm>
              <a:prstGeom prst="rect">
                <a:avLst/>
              </a:prstGeom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rgbClr val="FFFFFF"/>
                </a:solidFill>
                <a:miter lim="800000"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17" name="Rectangle 8">
                <a:extLst>
                  <a:ext uri="{FF2B5EF4-FFF2-40B4-BE49-F238E27FC236}">
                    <a16:creationId xmlns:a16="http://schemas.microsoft.com/office/drawing/2014/main" id="{4EC448EC-A97B-4146-8542-6C5F99A55C58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394" y="14424"/>
                <a:ext cx="570" cy="210"/>
              </a:xfrm>
              <a:prstGeom prst="rect">
                <a:avLst/>
              </a:prstGeom>
              <a:solidFill>
                <a:schemeClr val="tx2">
                  <a:lumMod val="40000"/>
                  <a:lumOff val="60000"/>
                </a:schemeClr>
              </a:solidFill>
              <a:ln w="3175">
                <a:solidFill>
                  <a:srgbClr val="EEECE1"/>
                </a:solidFill>
                <a:miter lim="800000"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18" name="Rectangle 9">
                <a:extLst>
                  <a:ext uri="{FF2B5EF4-FFF2-40B4-BE49-F238E27FC236}">
                    <a16:creationId xmlns:a16="http://schemas.microsoft.com/office/drawing/2014/main" id="{07C71987-63A8-4C2E-B6AC-878BBE68BF79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815" y="14424"/>
                <a:ext cx="570" cy="210"/>
              </a:xfrm>
              <a:prstGeom prst="rect">
                <a:avLst/>
              </a:prstGeom>
              <a:solidFill>
                <a:schemeClr val="tx2">
                  <a:lumMod val="20000"/>
                  <a:lumOff val="80000"/>
                </a:schemeClr>
              </a:solidFill>
              <a:ln w="3175">
                <a:solidFill>
                  <a:srgbClr val="EEECE1"/>
                </a:solidFill>
                <a:miter lim="800000"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</xdr:grpSp>
        <xdr:grpSp>
          <xdr:nvGrpSpPr>
            <xdr:cNvPr id="6" name="Group 10">
              <a:extLst>
                <a:ext uri="{FF2B5EF4-FFF2-40B4-BE49-F238E27FC236}">
                  <a16:creationId xmlns:a16="http://schemas.microsoft.com/office/drawing/2014/main" id="{CB171C55-D4F2-4F73-97EE-0C79B182D616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860" y="12966"/>
              <a:ext cx="4140" cy="1333"/>
              <a:chOff x="1521" y="14031"/>
              <a:chExt cx="4140" cy="1333"/>
            </a:xfrm>
          </xdr:grpSpPr>
          <xdr:sp macro="" textlink="">
            <xdr:nvSpPr>
              <xdr:cNvPr id="7" name="Text Box 11">
                <a:extLst>
                  <a:ext uri="{FF2B5EF4-FFF2-40B4-BE49-F238E27FC236}">
                    <a16:creationId xmlns:a16="http://schemas.microsoft.com/office/drawing/2014/main" id="{186340A2-9B89-43F7-8ED3-DCE346BE95CD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521" y="14712"/>
                <a:ext cx="1279" cy="6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pl-PL" sz="900">
                    <a:effectLst/>
                    <a:latin typeface="Times New Roman" panose="02020603050405020304" pitchFamily="18" charset="0"/>
                    <a:ea typeface="Times New Roman"/>
                    <a:cs typeface="Times New Roman" panose="02020603050405020304" pitchFamily="18" charset="0"/>
                  </a:rPr>
                  <a:t>75</a:t>
                </a:r>
              </a:p>
            </xdr:txBody>
          </xdr:sp>
          <xdr:sp macro="" textlink="">
            <xdr:nvSpPr>
              <xdr:cNvPr id="8" name="Text Box 12">
                <a:extLst>
                  <a:ext uri="{FF2B5EF4-FFF2-40B4-BE49-F238E27FC236}">
                    <a16:creationId xmlns:a16="http://schemas.microsoft.com/office/drawing/2014/main" id="{D07317CC-B26A-4434-BDEE-ADD57DFBC8F5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42" y="14712"/>
                <a:ext cx="585" cy="4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>
                  <a:spcAft>
                    <a:spcPts val="600"/>
                  </a:spcAft>
                </a:pPr>
                <a:r>
                  <a:rPr lang="pl-PL" sz="900">
                    <a:effectLst/>
                    <a:latin typeface="Times New Roman"/>
                    <a:ea typeface="Times New Roman"/>
                  </a:rPr>
                  <a:t>80</a:t>
                </a:r>
              </a:p>
            </xdr:txBody>
          </xdr:sp>
          <xdr:sp macro="" textlink="">
            <xdr:nvSpPr>
              <xdr:cNvPr id="9" name="Text Box 13">
                <a:extLst>
                  <a:ext uri="{FF2B5EF4-FFF2-40B4-BE49-F238E27FC236}">
                    <a16:creationId xmlns:a16="http://schemas.microsoft.com/office/drawing/2014/main" id="{AE6B00CF-3EFB-4EA4-B4A9-ECEC5A9CB06A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673" y="14712"/>
                <a:ext cx="585" cy="4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>
                  <a:spcAft>
                    <a:spcPts val="600"/>
                  </a:spcAft>
                </a:pPr>
                <a:r>
                  <a:rPr lang="pl-PL" sz="900">
                    <a:effectLst/>
                    <a:latin typeface="Times New Roman"/>
                    <a:ea typeface="Times New Roman"/>
                  </a:rPr>
                  <a:t>85</a:t>
                </a:r>
              </a:p>
            </xdr:txBody>
          </xdr:sp>
          <xdr:sp macro="" textlink="">
            <xdr:nvSpPr>
              <xdr:cNvPr id="10" name="Text Box 14">
                <a:extLst>
                  <a:ext uri="{FF2B5EF4-FFF2-40B4-BE49-F238E27FC236}">
                    <a16:creationId xmlns:a16="http://schemas.microsoft.com/office/drawing/2014/main" id="{D1B7DAC9-ABC8-43D2-B086-309DB030864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249" y="14712"/>
                <a:ext cx="585" cy="4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pl-PL" sz="900">
                    <a:effectLst/>
                    <a:latin typeface="Times New Roman" panose="02020603050405020304" pitchFamily="18" charset="0"/>
                    <a:ea typeface="Times New Roman"/>
                    <a:cs typeface="Times New Roman" panose="02020603050405020304" pitchFamily="18" charset="0"/>
                  </a:rPr>
                  <a:t>90</a:t>
                </a:r>
              </a:p>
            </xdr:txBody>
          </xdr:sp>
          <xdr:sp macro="" textlink="">
            <xdr:nvSpPr>
              <xdr:cNvPr id="11" name="Text Box 15">
                <a:extLst>
                  <a:ext uri="{FF2B5EF4-FFF2-40B4-BE49-F238E27FC236}">
                    <a16:creationId xmlns:a16="http://schemas.microsoft.com/office/drawing/2014/main" id="{0D637E4A-F042-45BF-82ED-10E9CEE87E4E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816" y="14712"/>
                <a:ext cx="585" cy="4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pl-PL" sz="900">
                    <a:effectLst/>
                    <a:latin typeface="Times New Roman" panose="02020603050405020304" pitchFamily="18" charset="0"/>
                    <a:ea typeface="Times New Roman"/>
                    <a:cs typeface="Times New Roman" panose="02020603050405020304" pitchFamily="18" charset="0"/>
                  </a:rPr>
                  <a:t>95</a:t>
                </a:r>
              </a:p>
            </xdr:txBody>
          </xdr:sp>
          <xdr:sp macro="" textlink="">
            <xdr:nvSpPr>
              <xdr:cNvPr id="12" name="Text Box 16">
                <a:extLst>
                  <a:ext uri="{FF2B5EF4-FFF2-40B4-BE49-F238E27FC236}">
                    <a16:creationId xmlns:a16="http://schemas.microsoft.com/office/drawing/2014/main" id="{9A3D3439-6D43-4114-988B-E3DAEFFA7CC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392" y="14712"/>
                <a:ext cx="1269" cy="5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pl-PL" sz="900">
                    <a:effectLst/>
                    <a:latin typeface="Times New Roman" panose="02020603050405020304" pitchFamily="18" charset="0"/>
                    <a:ea typeface="Times New Roman"/>
                    <a:cs typeface="Times New Roman" panose="02020603050405020304" pitchFamily="18" charset="0"/>
                  </a:rPr>
                  <a:t>100</a:t>
                </a:r>
              </a:p>
            </xdr:txBody>
          </xdr:sp>
          <xdr:sp macro="" textlink="">
            <xdr:nvSpPr>
              <xdr:cNvPr id="13" name="Text Box 17">
                <a:extLst>
                  <a:ext uri="{FF2B5EF4-FFF2-40B4-BE49-F238E27FC236}">
                    <a16:creationId xmlns:a16="http://schemas.microsoft.com/office/drawing/2014/main" id="{031037DF-48E3-488D-B747-A62FF1A7EE87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861" y="14031"/>
                <a:ext cx="1178" cy="43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pl-PL" sz="1100">
                    <a:effectLst/>
                    <a:latin typeface="Times New Roman" panose="02020603050405020304" pitchFamily="18" charset="0"/>
                    <a:ea typeface="Times New Roman"/>
                    <a:cs typeface="Times New Roman" panose="02020603050405020304" pitchFamily="18" charset="0"/>
                  </a:rPr>
                  <a:t>w proc.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105641</xdr:colOff>
      <xdr:row>2</xdr:row>
      <xdr:rowOff>71870</xdr:rowOff>
    </xdr:from>
    <xdr:to>
      <xdr:col>25</xdr:col>
      <xdr:colOff>96116</xdr:colOff>
      <xdr:row>22</xdr:row>
      <xdr:rowOff>90919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486D6849-B61E-449E-93D4-DA1732575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209550</xdr:colOff>
      <xdr:row>2</xdr:row>
      <xdr:rowOff>85725</xdr:rowOff>
    </xdr:from>
    <xdr:to>
      <xdr:col>25</xdr:col>
      <xdr:colOff>152400</xdr:colOff>
      <xdr:row>24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1B73E249-E507-4D9D-8C11-4E97413C93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171450</xdr:colOff>
      <xdr:row>2</xdr:row>
      <xdr:rowOff>152400</xdr:rowOff>
    </xdr:from>
    <xdr:to>
      <xdr:col>24</xdr:col>
      <xdr:colOff>228600</xdr:colOff>
      <xdr:row>23</xdr:row>
      <xdr:rowOff>83344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95E6D2B-114A-4BFF-9519-3537EFBE4D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238126</xdr:colOff>
      <xdr:row>2</xdr:row>
      <xdr:rowOff>47624</xdr:rowOff>
    </xdr:from>
    <xdr:to>
      <xdr:col>24</xdr:col>
      <xdr:colOff>381000</xdr:colOff>
      <xdr:row>24</xdr:row>
      <xdr:rowOff>35719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053D05F-7DF6-4576-AB1C-5FAF2E5308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171450</xdr:colOff>
      <xdr:row>2</xdr:row>
      <xdr:rowOff>28574</xdr:rowOff>
    </xdr:from>
    <xdr:to>
      <xdr:col>24</xdr:col>
      <xdr:colOff>304800</xdr:colOff>
      <xdr:row>22</xdr:row>
      <xdr:rowOff>23811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FDA1B5AB-F193-4E44-BA7E-C81A2759A3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2</xdr:row>
      <xdr:rowOff>28576</xdr:rowOff>
    </xdr:from>
    <xdr:to>
      <xdr:col>24</xdr:col>
      <xdr:colOff>76200</xdr:colOff>
      <xdr:row>22</xdr:row>
      <xdr:rowOff>59531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3E54357-EFDE-4454-9F86-4DCFA8D85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2</xdr:row>
      <xdr:rowOff>28577</xdr:rowOff>
    </xdr:from>
    <xdr:to>
      <xdr:col>24</xdr:col>
      <xdr:colOff>76200</xdr:colOff>
      <xdr:row>20</xdr:row>
      <xdr:rowOff>31751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A028432-61B3-40D7-ABEE-19B37700E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0.04648</cdr:x>
      <cdr:y>0.46447</cdr:y>
    </cdr:from>
    <cdr:to>
      <cdr:x>0.99306</cdr:x>
      <cdr:y>0.46917</cdr:y>
    </cdr:to>
    <cdr:cxnSp macro="">
      <cdr:nvCxnSpPr>
        <cdr:cNvPr id="2" name="Łącznik prostoliniowy 1">
          <a:extLst xmlns:a="http://schemas.openxmlformats.org/drawingml/2006/main">
            <a:ext uri="{FF2B5EF4-FFF2-40B4-BE49-F238E27FC236}">
              <a16:creationId xmlns:a16="http://schemas.microsoft.com/office/drawing/2014/main" id="{11A31905-F9C4-4F23-9B8D-3091097BBD3E}"/>
            </a:ext>
          </a:extLst>
        </cdr:cNvPr>
        <cdr:cNvCxnSpPr/>
      </cdr:nvCxnSpPr>
      <cdr:spPr>
        <a:xfrm xmlns:a="http://schemas.openxmlformats.org/drawingml/2006/main">
          <a:off x="239163" y="1251768"/>
          <a:ext cx="4870768" cy="12667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accent2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0.05342</cdr:x>
      <cdr:y>0.28392</cdr:y>
    </cdr:from>
    <cdr:to>
      <cdr:x>1</cdr:x>
      <cdr:y>0.28862</cdr:y>
    </cdr:to>
    <cdr:cxnSp macro="">
      <cdr:nvCxnSpPr>
        <cdr:cNvPr id="3" name="Łącznik prostoliniowy 1">
          <a:extLst xmlns:a="http://schemas.openxmlformats.org/drawingml/2006/main">
            <a:ext uri="{FF2B5EF4-FFF2-40B4-BE49-F238E27FC236}">
              <a16:creationId xmlns:a16="http://schemas.microsoft.com/office/drawing/2014/main" id="{AFFB69B7-6358-4670-9224-6506A918D9C8}"/>
            </a:ext>
          </a:extLst>
        </cdr:cNvPr>
        <cdr:cNvCxnSpPr/>
      </cdr:nvCxnSpPr>
      <cdr:spPr>
        <a:xfrm xmlns:a="http://schemas.openxmlformats.org/drawingml/2006/main">
          <a:off x="274881" y="765175"/>
          <a:ext cx="4870768" cy="12667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0000FF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38964</xdr:colOff>
      <xdr:row>12</xdr:row>
      <xdr:rowOff>150814</xdr:rowOff>
    </xdr:from>
    <xdr:to>
      <xdr:col>5</xdr:col>
      <xdr:colOff>4996295</xdr:colOff>
      <xdr:row>34</xdr:row>
      <xdr:rowOff>57150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3C22664-487B-47E8-B9F4-78232BF9F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125943</xdr:colOff>
      <xdr:row>1</xdr:row>
      <xdr:rowOff>56091</xdr:rowOff>
    </xdr:from>
    <xdr:to>
      <xdr:col>24</xdr:col>
      <xdr:colOff>169334</xdr:colOff>
      <xdr:row>22</xdr:row>
      <xdr:rowOff>10583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081E3B3-53BF-4B5F-A9F7-AD1A54DFB2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80531</xdr:colOff>
      <xdr:row>2</xdr:row>
      <xdr:rowOff>87457</xdr:rowOff>
    </xdr:from>
    <xdr:to>
      <xdr:col>25</xdr:col>
      <xdr:colOff>331644</xdr:colOff>
      <xdr:row>23</xdr:row>
      <xdr:rowOff>58882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DBB655D7-6DF3-4E5F-A5FC-24FCECAF0B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1</xdr:row>
      <xdr:rowOff>142875</xdr:rowOff>
    </xdr:from>
    <xdr:to>
      <xdr:col>24</xdr:col>
      <xdr:colOff>276225</xdr:colOff>
      <xdr:row>20</xdr:row>
      <xdr:rowOff>84667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E424EABB-2FAD-48DA-B6E6-6117612E8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2</xdr:row>
      <xdr:rowOff>171451</xdr:rowOff>
    </xdr:from>
    <xdr:to>
      <xdr:col>25</xdr:col>
      <xdr:colOff>76200</xdr:colOff>
      <xdr:row>22</xdr:row>
      <xdr:rowOff>63500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EB5A3EE0-1F8E-4FA8-A2F7-90FED1E6D0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2</xdr:row>
      <xdr:rowOff>123826</xdr:rowOff>
    </xdr:from>
    <xdr:to>
      <xdr:col>25</xdr:col>
      <xdr:colOff>133350</xdr:colOff>
      <xdr:row>23</xdr:row>
      <xdr:rowOff>178594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834B0D1-E820-4A85-9BAF-1FD378D687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285750</xdr:colOff>
      <xdr:row>2</xdr:row>
      <xdr:rowOff>46567</xdr:rowOff>
    </xdr:from>
    <xdr:to>
      <xdr:col>24</xdr:col>
      <xdr:colOff>333375</xdr:colOff>
      <xdr:row>27</xdr:row>
      <xdr:rowOff>59531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6D7C92FC-5B79-4AC4-A224-BC2B51DFE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254000</xdr:colOff>
      <xdr:row>1</xdr:row>
      <xdr:rowOff>152400</xdr:rowOff>
    </xdr:from>
    <xdr:to>
      <xdr:col>24</xdr:col>
      <xdr:colOff>301625</xdr:colOff>
      <xdr:row>22</xdr:row>
      <xdr:rowOff>10583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9CC627D-07EE-4195-9EDE-F9836309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326229</xdr:colOff>
      <xdr:row>1</xdr:row>
      <xdr:rowOff>35719</xdr:rowOff>
    </xdr:from>
    <xdr:to>
      <xdr:col>17</xdr:col>
      <xdr:colOff>595311</xdr:colOff>
      <xdr:row>20</xdr:row>
      <xdr:rowOff>166687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8CB2A35-9471-43F5-B5D8-A856731ECD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11905</xdr:colOff>
      <xdr:row>20</xdr:row>
      <xdr:rowOff>166687</xdr:rowOff>
    </xdr:from>
    <xdr:to>
      <xdr:col>17</xdr:col>
      <xdr:colOff>488156</xdr:colOff>
      <xdr:row>42</xdr:row>
      <xdr:rowOff>59530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3FF35F5F-1B84-493F-826F-56EE10BBB5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20</xdr:row>
      <xdr:rowOff>133350</xdr:rowOff>
    </xdr:from>
    <xdr:to>
      <xdr:col>8</xdr:col>
      <xdr:colOff>263468</xdr:colOff>
      <xdr:row>36</xdr:row>
      <xdr:rowOff>38735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465667</xdr:colOff>
      <xdr:row>21</xdr:row>
      <xdr:rowOff>10582</xdr:rowOff>
    </xdr:from>
    <xdr:to>
      <xdr:col>21</xdr:col>
      <xdr:colOff>11906</xdr:colOff>
      <xdr:row>46</xdr:row>
      <xdr:rowOff>83344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38C9905C-6396-48CD-9274-B61EF2364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0.0743</cdr:x>
      <cdr:y>0.50888</cdr:y>
    </cdr:from>
    <cdr:to>
      <cdr:x>0.99119</cdr:x>
      <cdr:y>0.51062</cdr:y>
    </cdr:to>
    <cdr:cxnSp macro="">
      <cdr:nvCxnSpPr>
        <cdr:cNvPr id="2" name="Łącznik prostoliniowy 1">
          <a:extLst xmlns:a="http://schemas.openxmlformats.org/drawingml/2006/main">
            <a:ext uri="{FF2B5EF4-FFF2-40B4-BE49-F238E27FC236}">
              <a16:creationId xmlns:a16="http://schemas.microsoft.com/office/drawing/2014/main" id="{07830836-B940-404B-872B-2F3980604640}"/>
            </a:ext>
          </a:extLst>
        </cdr:cNvPr>
        <cdr:cNvCxnSpPr/>
      </cdr:nvCxnSpPr>
      <cdr:spPr>
        <a:xfrm xmlns:a="http://schemas.openxmlformats.org/drawingml/2006/main">
          <a:off x="401791" y="1772771"/>
          <a:ext cx="4958070" cy="6062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accent2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66675</xdr:rowOff>
    </xdr:from>
    <xdr:to>
      <xdr:col>11</xdr:col>
      <xdr:colOff>466725</xdr:colOff>
      <xdr:row>49</xdr:row>
      <xdr:rowOff>76200</xdr:rowOff>
    </xdr:to>
    <xdr:sp macro="" textlink="">
      <xdr:nvSpPr>
        <xdr:cNvPr id="85718" name="Rectangle 726">
          <a:extLst>
            <a:ext uri="{FF2B5EF4-FFF2-40B4-BE49-F238E27FC236}">
              <a16:creationId xmlns:a16="http://schemas.microsoft.com/office/drawing/2014/main" id="{B9C47B10-1923-428A-9F8C-8718ED4A6DEC}"/>
            </a:ext>
          </a:extLst>
        </xdr:cNvPr>
        <xdr:cNvSpPr>
          <a:spLocks noChangeArrowheads="1"/>
        </xdr:cNvSpPr>
      </xdr:nvSpPr>
      <xdr:spPr bwMode="auto">
        <a:xfrm>
          <a:off x="381000" y="257175"/>
          <a:ext cx="6791325" cy="991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1</xdr:row>
      <xdr:rowOff>66675</xdr:rowOff>
    </xdr:from>
    <xdr:to>
      <xdr:col>11</xdr:col>
      <xdr:colOff>466725</xdr:colOff>
      <xdr:row>9</xdr:row>
      <xdr:rowOff>95250</xdr:rowOff>
    </xdr:to>
    <xdr:sp macro="" textlink="">
      <xdr:nvSpPr>
        <xdr:cNvPr id="85717" name="Rectangle 725">
          <a:extLst>
            <a:ext uri="{FF2B5EF4-FFF2-40B4-BE49-F238E27FC236}">
              <a16:creationId xmlns:a16="http://schemas.microsoft.com/office/drawing/2014/main" id="{4E730457-CF2F-45E0-90F2-D3E5FB8F88C3}"/>
            </a:ext>
          </a:extLst>
        </xdr:cNvPr>
        <xdr:cNvSpPr>
          <a:spLocks noChangeArrowheads="1"/>
        </xdr:cNvSpPr>
      </xdr:nvSpPr>
      <xdr:spPr bwMode="auto">
        <a:xfrm>
          <a:off x="381000" y="257175"/>
          <a:ext cx="679132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1</xdr:row>
      <xdr:rowOff>66675</xdr:rowOff>
    </xdr:from>
    <xdr:to>
      <xdr:col>11</xdr:col>
      <xdr:colOff>466725</xdr:colOff>
      <xdr:row>3</xdr:row>
      <xdr:rowOff>28575</xdr:rowOff>
    </xdr:to>
    <xdr:sp macro="" textlink="">
      <xdr:nvSpPr>
        <xdr:cNvPr id="85716" name="Rectangle 724">
          <a:extLst>
            <a:ext uri="{FF2B5EF4-FFF2-40B4-BE49-F238E27FC236}">
              <a16:creationId xmlns:a16="http://schemas.microsoft.com/office/drawing/2014/main" id="{A4E7F74C-8FE4-4A24-B4B5-A333B5282F29}"/>
            </a:ext>
          </a:extLst>
        </xdr:cNvPr>
        <xdr:cNvSpPr>
          <a:spLocks noChangeArrowheads="1"/>
        </xdr:cNvSpPr>
      </xdr:nvSpPr>
      <xdr:spPr bwMode="auto">
        <a:xfrm>
          <a:off x="381000" y="257175"/>
          <a:ext cx="6791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1</xdr:row>
      <xdr:rowOff>66674</xdr:rowOff>
    </xdr:from>
    <xdr:to>
      <xdr:col>11</xdr:col>
      <xdr:colOff>466725</xdr:colOff>
      <xdr:row>3</xdr:row>
      <xdr:rowOff>123825</xdr:rowOff>
    </xdr:to>
    <xdr:sp macro="" textlink="">
      <xdr:nvSpPr>
        <xdr:cNvPr id="85715" name="Rectangle 723">
          <a:extLst>
            <a:ext uri="{FF2B5EF4-FFF2-40B4-BE49-F238E27FC236}">
              <a16:creationId xmlns:a16="http://schemas.microsoft.com/office/drawing/2014/main" id="{EE638857-E572-415E-B158-4D73FD9562C3}"/>
            </a:ext>
          </a:extLst>
        </xdr:cNvPr>
        <xdr:cNvSpPr>
          <a:spLocks noChangeArrowheads="1"/>
        </xdr:cNvSpPr>
      </xdr:nvSpPr>
      <xdr:spPr bwMode="auto">
        <a:xfrm>
          <a:off x="381000" y="257174"/>
          <a:ext cx="6791325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MINISTERSTWO RODZINY I POLITYKI SPOŁECZNEJ</a:t>
          </a:r>
          <a:endParaRPr lang="pl-P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NOWOGRODZKA 1/3/5 00-513 Warszawa</a:t>
          </a:r>
        </a:p>
      </xdr:txBody>
    </xdr:sp>
    <xdr:clientData/>
  </xdr:twoCellAnchor>
  <xdr:twoCellAnchor>
    <xdr:from>
      <xdr:col>0</xdr:col>
      <xdr:colOff>381000</xdr:colOff>
      <xdr:row>1</xdr:row>
      <xdr:rowOff>66675</xdr:rowOff>
    </xdr:from>
    <xdr:to>
      <xdr:col>11</xdr:col>
      <xdr:colOff>476250</xdr:colOff>
      <xdr:row>1</xdr:row>
      <xdr:rowOff>66675</xdr:rowOff>
    </xdr:to>
    <xdr:sp macro="" textlink="">
      <xdr:nvSpPr>
        <xdr:cNvPr id="85714" name="Line 722">
          <a:extLst>
            <a:ext uri="{FF2B5EF4-FFF2-40B4-BE49-F238E27FC236}">
              <a16:creationId xmlns:a16="http://schemas.microsoft.com/office/drawing/2014/main" id="{25FA9E5E-CB92-4D85-9B99-6D0F66EA3782}"/>
            </a:ext>
          </a:extLst>
        </xdr:cNvPr>
        <xdr:cNvSpPr>
          <a:spLocks noChangeShapeType="1"/>
        </xdr:cNvSpPr>
      </xdr:nvSpPr>
      <xdr:spPr bwMode="auto">
        <a:xfrm>
          <a:off x="381000" y="257175"/>
          <a:ext cx="68008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0</xdr:col>
      <xdr:colOff>381000</xdr:colOff>
      <xdr:row>1</xdr:row>
      <xdr:rowOff>57150</xdr:rowOff>
    </xdr:from>
    <xdr:to>
      <xdr:col>0</xdr:col>
      <xdr:colOff>381000</xdr:colOff>
      <xdr:row>3</xdr:row>
      <xdr:rowOff>28575</xdr:rowOff>
    </xdr:to>
    <xdr:sp macro="" textlink="">
      <xdr:nvSpPr>
        <xdr:cNvPr id="85713" name="Line 721">
          <a:extLst>
            <a:ext uri="{FF2B5EF4-FFF2-40B4-BE49-F238E27FC236}">
              <a16:creationId xmlns:a16="http://schemas.microsoft.com/office/drawing/2014/main" id="{F4BB025A-3893-4679-A861-F92721383907}"/>
            </a:ext>
          </a:extLst>
        </xdr:cNvPr>
        <xdr:cNvSpPr>
          <a:spLocks noChangeShapeType="1"/>
        </xdr:cNvSpPr>
      </xdr:nvSpPr>
      <xdr:spPr bwMode="auto">
        <a:xfrm>
          <a:off x="381000" y="247650"/>
          <a:ext cx="0" cy="3524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</xdr:row>
      <xdr:rowOff>38100</xdr:rowOff>
    </xdr:from>
    <xdr:to>
      <xdr:col>11</xdr:col>
      <xdr:colOff>476250</xdr:colOff>
      <xdr:row>3</xdr:row>
      <xdr:rowOff>38100</xdr:rowOff>
    </xdr:to>
    <xdr:sp macro="" textlink="">
      <xdr:nvSpPr>
        <xdr:cNvPr id="85712" name="Line 720">
          <a:extLst>
            <a:ext uri="{FF2B5EF4-FFF2-40B4-BE49-F238E27FC236}">
              <a16:creationId xmlns:a16="http://schemas.microsoft.com/office/drawing/2014/main" id="{637CF321-2105-4E80-9FF1-E84DEE99F802}"/>
            </a:ext>
          </a:extLst>
        </xdr:cNvPr>
        <xdr:cNvSpPr>
          <a:spLocks noChangeShapeType="1"/>
        </xdr:cNvSpPr>
      </xdr:nvSpPr>
      <xdr:spPr bwMode="auto">
        <a:xfrm>
          <a:off x="381000" y="609600"/>
          <a:ext cx="68008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1</xdr:row>
      <xdr:rowOff>57150</xdr:rowOff>
    </xdr:from>
    <xdr:to>
      <xdr:col>11</xdr:col>
      <xdr:colOff>466725</xdr:colOff>
      <xdr:row>3</xdr:row>
      <xdr:rowOff>28575</xdr:rowOff>
    </xdr:to>
    <xdr:sp macro="" textlink="">
      <xdr:nvSpPr>
        <xdr:cNvPr id="85711" name="Line 719">
          <a:extLst>
            <a:ext uri="{FF2B5EF4-FFF2-40B4-BE49-F238E27FC236}">
              <a16:creationId xmlns:a16="http://schemas.microsoft.com/office/drawing/2014/main" id="{6A247C61-7490-49AE-A598-03BB0231457F}"/>
            </a:ext>
          </a:extLst>
        </xdr:cNvPr>
        <xdr:cNvSpPr>
          <a:spLocks noChangeShapeType="1"/>
        </xdr:cNvSpPr>
      </xdr:nvSpPr>
      <xdr:spPr bwMode="auto">
        <a:xfrm>
          <a:off x="7172325" y="247650"/>
          <a:ext cx="0" cy="3524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</xdr:row>
      <xdr:rowOff>28575</xdr:rowOff>
    </xdr:from>
    <xdr:to>
      <xdr:col>11</xdr:col>
      <xdr:colOff>466725</xdr:colOff>
      <xdr:row>9</xdr:row>
      <xdr:rowOff>76200</xdr:rowOff>
    </xdr:to>
    <xdr:sp macro="" textlink="">
      <xdr:nvSpPr>
        <xdr:cNvPr id="85710" name="Rectangle 718">
          <a:extLst>
            <a:ext uri="{FF2B5EF4-FFF2-40B4-BE49-F238E27FC236}">
              <a16:creationId xmlns:a16="http://schemas.microsoft.com/office/drawing/2014/main" id="{6D0F4B96-0BB3-4991-8489-D24EE0B6A2A1}"/>
            </a:ext>
          </a:extLst>
        </xdr:cNvPr>
        <xdr:cNvSpPr>
          <a:spLocks noChangeArrowheads="1"/>
        </xdr:cNvSpPr>
      </xdr:nvSpPr>
      <xdr:spPr bwMode="auto">
        <a:xfrm>
          <a:off x="381000" y="600075"/>
          <a:ext cx="67913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3</xdr:row>
      <xdr:rowOff>180975</xdr:rowOff>
    </xdr:from>
    <xdr:to>
      <xdr:col>4</xdr:col>
      <xdr:colOff>523875</xdr:colOff>
      <xdr:row>9</xdr:row>
      <xdr:rowOff>76200</xdr:rowOff>
    </xdr:to>
    <xdr:sp macro="" textlink="">
      <xdr:nvSpPr>
        <xdr:cNvPr id="85709" name="Rectangle 717">
          <a:extLst>
            <a:ext uri="{FF2B5EF4-FFF2-40B4-BE49-F238E27FC236}">
              <a16:creationId xmlns:a16="http://schemas.microsoft.com/office/drawing/2014/main" id="{B3EE6BFC-C521-4E13-ADE4-C96CFE9880BB}"/>
            </a:ext>
          </a:extLst>
        </xdr:cNvPr>
        <xdr:cNvSpPr>
          <a:spLocks noChangeArrowheads="1"/>
        </xdr:cNvSpPr>
      </xdr:nvSpPr>
      <xdr:spPr bwMode="auto">
        <a:xfrm>
          <a:off x="381000" y="752475"/>
          <a:ext cx="25812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Sporządzający sprawozdanie: </a:t>
          </a:r>
          <a:endParaRPr lang="pl-P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pl-P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pl-P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Numer identyfikacyjny - REGON</a:t>
          </a:r>
        </a:p>
        <a:p>
          <a:pPr algn="l" rtl="0">
            <a:lnSpc>
              <a:spcPts val="900"/>
            </a:lnSpc>
            <a:defRPr sz="1000"/>
          </a:pPr>
          <a:endParaRPr lang="pl-P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l-P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pl-P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pl-P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pl-P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381000</xdr:colOff>
      <xdr:row>3</xdr:row>
      <xdr:rowOff>28575</xdr:rowOff>
    </xdr:from>
    <xdr:to>
      <xdr:col>0</xdr:col>
      <xdr:colOff>381000</xdr:colOff>
      <xdr:row>9</xdr:row>
      <xdr:rowOff>76200</xdr:rowOff>
    </xdr:to>
    <xdr:sp macro="" textlink="">
      <xdr:nvSpPr>
        <xdr:cNvPr id="85708" name="Line 716">
          <a:extLst>
            <a:ext uri="{FF2B5EF4-FFF2-40B4-BE49-F238E27FC236}">
              <a16:creationId xmlns:a16="http://schemas.microsoft.com/office/drawing/2014/main" id="{635862F1-7A42-4329-94EC-6174CCE39CFF}"/>
            </a:ext>
          </a:extLst>
        </xdr:cNvPr>
        <xdr:cNvSpPr>
          <a:spLocks noChangeShapeType="1"/>
        </xdr:cNvSpPr>
      </xdr:nvSpPr>
      <xdr:spPr bwMode="auto">
        <a:xfrm>
          <a:off x="381000" y="600075"/>
          <a:ext cx="0" cy="1190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9</xdr:row>
      <xdr:rowOff>76200</xdr:rowOff>
    </xdr:from>
    <xdr:to>
      <xdr:col>4</xdr:col>
      <xdr:colOff>523875</xdr:colOff>
      <xdr:row>9</xdr:row>
      <xdr:rowOff>76200</xdr:rowOff>
    </xdr:to>
    <xdr:sp macro="" textlink="">
      <xdr:nvSpPr>
        <xdr:cNvPr id="85707" name="Line 715">
          <a:extLst>
            <a:ext uri="{FF2B5EF4-FFF2-40B4-BE49-F238E27FC236}">
              <a16:creationId xmlns:a16="http://schemas.microsoft.com/office/drawing/2014/main" id="{1512CD7E-5848-4763-80CE-4D5A17E791AC}"/>
            </a:ext>
          </a:extLst>
        </xdr:cNvPr>
        <xdr:cNvSpPr>
          <a:spLocks noChangeShapeType="1"/>
        </xdr:cNvSpPr>
      </xdr:nvSpPr>
      <xdr:spPr bwMode="auto">
        <a:xfrm>
          <a:off x="381000" y="1790700"/>
          <a:ext cx="25812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523875</xdr:colOff>
      <xdr:row>3</xdr:row>
      <xdr:rowOff>28575</xdr:rowOff>
    </xdr:from>
    <xdr:to>
      <xdr:col>4</xdr:col>
      <xdr:colOff>523875</xdr:colOff>
      <xdr:row>9</xdr:row>
      <xdr:rowOff>76200</xdr:rowOff>
    </xdr:to>
    <xdr:sp macro="" textlink="">
      <xdr:nvSpPr>
        <xdr:cNvPr id="85706" name="Line 714">
          <a:extLst>
            <a:ext uri="{FF2B5EF4-FFF2-40B4-BE49-F238E27FC236}">
              <a16:creationId xmlns:a16="http://schemas.microsoft.com/office/drawing/2014/main" id="{58ECC384-9615-40AE-99D3-EEE8F9FD83DB}"/>
            </a:ext>
          </a:extLst>
        </xdr:cNvPr>
        <xdr:cNvSpPr>
          <a:spLocks noChangeShapeType="1"/>
        </xdr:cNvSpPr>
      </xdr:nvSpPr>
      <xdr:spPr bwMode="auto">
        <a:xfrm>
          <a:off x="2962275" y="600075"/>
          <a:ext cx="0" cy="1190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523875</xdr:colOff>
      <xdr:row>3</xdr:row>
      <xdr:rowOff>123825</xdr:rowOff>
    </xdr:from>
    <xdr:to>
      <xdr:col>7</xdr:col>
      <xdr:colOff>400050</xdr:colOff>
      <xdr:row>9</xdr:row>
      <xdr:rowOff>76200</xdr:rowOff>
    </xdr:to>
    <xdr:sp macro="" textlink="">
      <xdr:nvSpPr>
        <xdr:cNvPr id="85705" name="Rectangle 713">
          <a:extLst>
            <a:ext uri="{FF2B5EF4-FFF2-40B4-BE49-F238E27FC236}">
              <a16:creationId xmlns:a16="http://schemas.microsoft.com/office/drawing/2014/main" id="{5C6A1B14-525A-4E6B-9300-D164719AACB6}"/>
            </a:ext>
          </a:extLst>
        </xdr:cNvPr>
        <xdr:cNvSpPr>
          <a:spLocks noChangeArrowheads="1"/>
        </xdr:cNvSpPr>
      </xdr:nvSpPr>
      <xdr:spPr bwMode="auto">
        <a:xfrm>
          <a:off x="2962275" y="695325"/>
          <a:ext cx="17049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7620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Załącznik nr 1 </a:t>
          </a:r>
        </a:p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do sprawozdania </a:t>
          </a:r>
        </a:p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MRiPS - 02</a:t>
          </a:r>
        </a:p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Efektywność </a:t>
          </a:r>
        </a:p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programów na rzecz </a:t>
          </a:r>
        </a:p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promocji zatrudnienia </a:t>
          </a:r>
        </a:p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za </a:t>
          </a:r>
        </a:p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..................rok</a:t>
          </a:r>
        </a:p>
      </xdr:txBody>
    </xdr:sp>
    <xdr:clientData/>
  </xdr:twoCellAnchor>
  <xdr:twoCellAnchor>
    <xdr:from>
      <xdr:col>4</xdr:col>
      <xdr:colOff>523875</xdr:colOff>
      <xdr:row>9</xdr:row>
      <xdr:rowOff>76200</xdr:rowOff>
    </xdr:from>
    <xdr:to>
      <xdr:col>7</xdr:col>
      <xdr:colOff>400050</xdr:colOff>
      <xdr:row>9</xdr:row>
      <xdr:rowOff>76200</xdr:rowOff>
    </xdr:to>
    <xdr:sp macro="" textlink="">
      <xdr:nvSpPr>
        <xdr:cNvPr id="85704" name="Line 712">
          <a:extLst>
            <a:ext uri="{FF2B5EF4-FFF2-40B4-BE49-F238E27FC236}">
              <a16:creationId xmlns:a16="http://schemas.microsoft.com/office/drawing/2014/main" id="{C4C6DFC8-ADEE-4952-B45F-6F78F4E1575C}"/>
            </a:ext>
          </a:extLst>
        </xdr:cNvPr>
        <xdr:cNvSpPr>
          <a:spLocks noChangeShapeType="1"/>
        </xdr:cNvSpPr>
      </xdr:nvSpPr>
      <xdr:spPr bwMode="auto">
        <a:xfrm>
          <a:off x="2962275" y="1790700"/>
          <a:ext cx="17049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3</xdr:row>
      <xdr:rowOff>28575</xdr:rowOff>
    </xdr:from>
    <xdr:to>
      <xdr:col>7</xdr:col>
      <xdr:colOff>390525</xdr:colOff>
      <xdr:row>9</xdr:row>
      <xdr:rowOff>76200</xdr:rowOff>
    </xdr:to>
    <xdr:sp macro="" textlink="">
      <xdr:nvSpPr>
        <xdr:cNvPr id="85703" name="Line 711">
          <a:extLst>
            <a:ext uri="{FF2B5EF4-FFF2-40B4-BE49-F238E27FC236}">
              <a16:creationId xmlns:a16="http://schemas.microsoft.com/office/drawing/2014/main" id="{D70F8D53-72C9-41A6-B9E8-26621A829444}"/>
            </a:ext>
          </a:extLst>
        </xdr:cNvPr>
        <xdr:cNvSpPr>
          <a:spLocks noChangeShapeType="1"/>
        </xdr:cNvSpPr>
      </xdr:nvSpPr>
      <xdr:spPr bwMode="auto">
        <a:xfrm>
          <a:off x="4657725" y="600075"/>
          <a:ext cx="0" cy="1190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4</xdr:row>
      <xdr:rowOff>0</xdr:rowOff>
    </xdr:from>
    <xdr:to>
      <xdr:col>11</xdr:col>
      <xdr:colOff>466725</xdr:colOff>
      <xdr:row>9</xdr:row>
      <xdr:rowOff>76200</xdr:rowOff>
    </xdr:to>
    <xdr:sp macro="" textlink="">
      <xdr:nvSpPr>
        <xdr:cNvPr id="85702" name="Rectangle 710">
          <a:extLst>
            <a:ext uri="{FF2B5EF4-FFF2-40B4-BE49-F238E27FC236}">
              <a16:creationId xmlns:a16="http://schemas.microsoft.com/office/drawing/2014/main" id="{7B590C9F-CABB-4154-A0E3-B4EC260A9763}"/>
            </a:ext>
          </a:extLst>
        </xdr:cNvPr>
        <xdr:cNvSpPr>
          <a:spLocks noChangeArrowheads="1"/>
        </xdr:cNvSpPr>
      </xdr:nvSpPr>
      <xdr:spPr bwMode="auto">
        <a:xfrm>
          <a:off x="4657725" y="762000"/>
          <a:ext cx="25146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Termin przekazania: zgodnie z programem PBSSP</a:t>
          </a:r>
        </a:p>
      </xdr:txBody>
    </xdr:sp>
    <xdr:clientData/>
  </xdr:twoCellAnchor>
  <xdr:twoCellAnchor>
    <xdr:from>
      <xdr:col>7</xdr:col>
      <xdr:colOff>390525</xdr:colOff>
      <xdr:row>9</xdr:row>
      <xdr:rowOff>76200</xdr:rowOff>
    </xdr:from>
    <xdr:to>
      <xdr:col>11</xdr:col>
      <xdr:colOff>476250</xdr:colOff>
      <xdr:row>9</xdr:row>
      <xdr:rowOff>76200</xdr:rowOff>
    </xdr:to>
    <xdr:sp macro="" textlink="">
      <xdr:nvSpPr>
        <xdr:cNvPr id="85701" name="Line 709">
          <a:extLst>
            <a:ext uri="{FF2B5EF4-FFF2-40B4-BE49-F238E27FC236}">
              <a16:creationId xmlns:a16="http://schemas.microsoft.com/office/drawing/2014/main" id="{B5AA36EF-6075-4482-A509-39D02ACC516F}"/>
            </a:ext>
          </a:extLst>
        </xdr:cNvPr>
        <xdr:cNvSpPr>
          <a:spLocks noChangeShapeType="1"/>
        </xdr:cNvSpPr>
      </xdr:nvSpPr>
      <xdr:spPr bwMode="auto">
        <a:xfrm>
          <a:off x="4657725" y="1790700"/>
          <a:ext cx="25241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3</xdr:row>
      <xdr:rowOff>28575</xdr:rowOff>
    </xdr:from>
    <xdr:to>
      <xdr:col>11</xdr:col>
      <xdr:colOff>466725</xdr:colOff>
      <xdr:row>9</xdr:row>
      <xdr:rowOff>76200</xdr:rowOff>
    </xdr:to>
    <xdr:sp macro="" textlink="">
      <xdr:nvSpPr>
        <xdr:cNvPr id="85700" name="Line 708">
          <a:extLst>
            <a:ext uri="{FF2B5EF4-FFF2-40B4-BE49-F238E27FC236}">
              <a16:creationId xmlns:a16="http://schemas.microsoft.com/office/drawing/2014/main" id="{7234FB38-F7E0-4739-9887-DD19EDDFFA20}"/>
            </a:ext>
          </a:extLst>
        </xdr:cNvPr>
        <xdr:cNvSpPr>
          <a:spLocks noChangeShapeType="1"/>
        </xdr:cNvSpPr>
      </xdr:nvSpPr>
      <xdr:spPr bwMode="auto">
        <a:xfrm>
          <a:off x="7172325" y="600075"/>
          <a:ext cx="0" cy="1190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9</xdr:row>
      <xdr:rowOff>76200</xdr:rowOff>
    </xdr:from>
    <xdr:to>
      <xdr:col>11</xdr:col>
      <xdr:colOff>466725</xdr:colOff>
      <xdr:row>9</xdr:row>
      <xdr:rowOff>85725</xdr:rowOff>
    </xdr:to>
    <xdr:sp macro="" textlink="">
      <xdr:nvSpPr>
        <xdr:cNvPr id="85699" name="Rectangle 707">
          <a:extLst>
            <a:ext uri="{FF2B5EF4-FFF2-40B4-BE49-F238E27FC236}">
              <a16:creationId xmlns:a16="http://schemas.microsoft.com/office/drawing/2014/main" id="{4D5C4805-4E19-4160-A59C-01FBB58C2B70}"/>
            </a:ext>
          </a:extLst>
        </xdr:cNvPr>
        <xdr:cNvSpPr>
          <a:spLocks noChangeArrowheads="1"/>
        </xdr:cNvSpPr>
      </xdr:nvSpPr>
      <xdr:spPr bwMode="auto">
        <a:xfrm>
          <a:off x="381000" y="1790700"/>
          <a:ext cx="6791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Sansserif"/>
            </a:rPr>
            <a:t> </a:t>
          </a:r>
        </a:p>
      </xdr:txBody>
    </xdr:sp>
    <xdr:clientData/>
  </xdr:twoCellAnchor>
  <xdr:twoCellAnchor>
    <xdr:from>
      <xdr:col>0</xdr:col>
      <xdr:colOff>381000</xdr:colOff>
      <xdr:row>9</xdr:row>
      <xdr:rowOff>76200</xdr:rowOff>
    </xdr:from>
    <xdr:to>
      <xdr:col>11</xdr:col>
      <xdr:colOff>466725</xdr:colOff>
      <xdr:row>9</xdr:row>
      <xdr:rowOff>76200</xdr:rowOff>
    </xdr:to>
    <xdr:sp macro="" textlink="">
      <xdr:nvSpPr>
        <xdr:cNvPr id="85698" name="Line 706">
          <a:extLst>
            <a:ext uri="{FF2B5EF4-FFF2-40B4-BE49-F238E27FC236}">
              <a16:creationId xmlns:a16="http://schemas.microsoft.com/office/drawing/2014/main" id="{A2FF0A15-324B-4815-9AE3-ACE891AFE2E3}"/>
            </a:ext>
          </a:extLst>
        </xdr:cNvPr>
        <xdr:cNvSpPr>
          <a:spLocks noChangeShapeType="1"/>
        </xdr:cNvSpPr>
      </xdr:nvSpPr>
      <xdr:spPr bwMode="auto">
        <a:xfrm>
          <a:off x="381000" y="1790700"/>
          <a:ext cx="67913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10</xdr:row>
      <xdr:rowOff>152400</xdr:rowOff>
    </xdr:from>
    <xdr:to>
      <xdr:col>11</xdr:col>
      <xdr:colOff>466725</xdr:colOff>
      <xdr:row>44</xdr:row>
      <xdr:rowOff>47625</xdr:rowOff>
    </xdr:to>
    <xdr:sp macro="" textlink="">
      <xdr:nvSpPr>
        <xdr:cNvPr id="85696" name="Rectangle 704">
          <a:extLst>
            <a:ext uri="{FF2B5EF4-FFF2-40B4-BE49-F238E27FC236}">
              <a16:creationId xmlns:a16="http://schemas.microsoft.com/office/drawing/2014/main" id="{880932B9-9C15-4AEC-93AE-484FDAB56F9D}"/>
            </a:ext>
          </a:extLst>
        </xdr:cNvPr>
        <xdr:cNvSpPr>
          <a:spLocks noChangeArrowheads="1"/>
        </xdr:cNvSpPr>
      </xdr:nvSpPr>
      <xdr:spPr bwMode="auto">
        <a:xfrm>
          <a:off x="381000" y="2057400"/>
          <a:ext cx="6791325" cy="637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10</xdr:row>
      <xdr:rowOff>152400</xdr:rowOff>
    </xdr:from>
    <xdr:to>
      <xdr:col>11</xdr:col>
      <xdr:colOff>466725</xdr:colOff>
      <xdr:row>14</xdr:row>
      <xdr:rowOff>38100</xdr:rowOff>
    </xdr:to>
    <xdr:sp macro="" textlink="">
      <xdr:nvSpPr>
        <xdr:cNvPr id="85695" name="Rectangle 703">
          <a:extLst>
            <a:ext uri="{FF2B5EF4-FFF2-40B4-BE49-F238E27FC236}">
              <a16:creationId xmlns:a16="http://schemas.microsoft.com/office/drawing/2014/main" id="{FF728370-E99C-4933-A954-6FAB67837177}"/>
            </a:ext>
          </a:extLst>
        </xdr:cNvPr>
        <xdr:cNvSpPr>
          <a:spLocks noChangeArrowheads="1"/>
        </xdr:cNvSpPr>
      </xdr:nvSpPr>
      <xdr:spPr bwMode="auto">
        <a:xfrm>
          <a:off x="381000" y="2057400"/>
          <a:ext cx="6791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10</xdr:row>
      <xdr:rowOff>152400</xdr:rowOff>
    </xdr:from>
    <xdr:to>
      <xdr:col>5</xdr:col>
      <xdr:colOff>180975</xdr:colOff>
      <xdr:row>14</xdr:row>
      <xdr:rowOff>38100</xdr:rowOff>
    </xdr:to>
    <xdr:sp macro="" textlink="">
      <xdr:nvSpPr>
        <xdr:cNvPr id="85694" name="Rectangle 702">
          <a:extLst>
            <a:ext uri="{FF2B5EF4-FFF2-40B4-BE49-F238E27FC236}">
              <a16:creationId xmlns:a16="http://schemas.microsoft.com/office/drawing/2014/main" id="{843D1F59-25E9-4695-ABF8-3E29000D5820}"/>
            </a:ext>
          </a:extLst>
        </xdr:cNvPr>
        <xdr:cNvSpPr>
          <a:spLocks noChangeArrowheads="1"/>
        </xdr:cNvSpPr>
      </xdr:nvSpPr>
      <xdr:spPr bwMode="auto">
        <a:xfrm>
          <a:off x="381000" y="2057400"/>
          <a:ext cx="28479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Wyszczególnienie</a:t>
          </a:r>
        </a:p>
      </xdr:txBody>
    </xdr:sp>
    <xdr:clientData/>
  </xdr:twoCellAnchor>
  <xdr:twoCellAnchor>
    <xdr:from>
      <xdr:col>0</xdr:col>
      <xdr:colOff>381000</xdr:colOff>
      <xdr:row>10</xdr:row>
      <xdr:rowOff>152400</xdr:rowOff>
    </xdr:from>
    <xdr:to>
      <xdr:col>5</xdr:col>
      <xdr:colOff>180975</xdr:colOff>
      <xdr:row>10</xdr:row>
      <xdr:rowOff>152400</xdr:rowOff>
    </xdr:to>
    <xdr:sp macro="" textlink="">
      <xdr:nvSpPr>
        <xdr:cNvPr id="85693" name="Line 701">
          <a:extLst>
            <a:ext uri="{FF2B5EF4-FFF2-40B4-BE49-F238E27FC236}">
              <a16:creationId xmlns:a16="http://schemas.microsoft.com/office/drawing/2014/main" id="{49A6F9FB-0891-43E9-BB03-CD1897D2D1A6}"/>
            </a:ext>
          </a:extLst>
        </xdr:cNvPr>
        <xdr:cNvSpPr>
          <a:spLocks noChangeShapeType="1"/>
        </xdr:cNvSpPr>
      </xdr:nvSpPr>
      <xdr:spPr bwMode="auto">
        <a:xfrm>
          <a:off x="381000" y="2057400"/>
          <a:ext cx="28479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10</xdr:row>
      <xdr:rowOff>152400</xdr:rowOff>
    </xdr:from>
    <xdr:to>
      <xdr:col>0</xdr:col>
      <xdr:colOff>381000</xdr:colOff>
      <xdr:row>14</xdr:row>
      <xdr:rowOff>38100</xdr:rowOff>
    </xdr:to>
    <xdr:sp macro="" textlink="">
      <xdr:nvSpPr>
        <xdr:cNvPr id="85692" name="Line 700">
          <a:extLst>
            <a:ext uri="{FF2B5EF4-FFF2-40B4-BE49-F238E27FC236}">
              <a16:creationId xmlns:a16="http://schemas.microsoft.com/office/drawing/2014/main" id="{403A45A9-A3BB-437F-8DC3-2D939D53E994}"/>
            </a:ext>
          </a:extLst>
        </xdr:cNvPr>
        <xdr:cNvSpPr>
          <a:spLocks noChangeShapeType="1"/>
        </xdr:cNvSpPr>
      </xdr:nvSpPr>
      <xdr:spPr bwMode="auto">
        <a:xfrm>
          <a:off x="381000" y="2057400"/>
          <a:ext cx="0" cy="6477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14</xdr:row>
      <xdr:rowOff>38100</xdr:rowOff>
    </xdr:from>
    <xdr:to>
      <xdr:col>5</xdr:col>
      <xdr:colOff>180975</xdr:colOff>
      <xdr:row>14</xdr:row>
      <xdr:rowOff>38100</xdr:rowOff>
    </xdr:to>
    <xdr:sp macro="" textlink="">
      <xdr:nvSpPr>
        <xdr:cNvPr id="85691" name="Line 699">
          <a:extLst>
            <a:ext uri="{FF2B5EF4-FFF2-40B4-BE49-F238E27FC236}">
              <a16:creationId xmlns:a16="http://schemas.microsoft.com/office/drawing/2014/main" id="{62320BE0-F1D5-4006-8A37-A18C6EF6F9A1}"/>
            </a:ext>
          </a:extLst>
        </xdr:cNvPr>
        <xdr:cNvSpPr>
          <a:spLocks noChangeShapeType="1"/>
        </xdr:cNvSpPr>
      </xdr:nvSpPr>
      <xdr:spPr bwMode="auto">
        <a:xfrm>
          <a:off x="381000" y="2705100"/>
          <a:ext cx="28479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10</xdr:row>
      <xdr:rowOff>152400</xdr:rowOff>
    </xdr:from>
    <xdr:to>
      <xdr:col>5</xdr:col>
      <xdr:colOff>180975</xdr:colOff>
      <xdr:row>14</xdr:row>
      <xdr:rowOff>38100</xdr:rowOff>
    </xdr:to>
    <xdr:sp macro="" textlink="">
      <xdr:nvSpPr>
        <xdr:cNvPr id="85690" name="Line 698">
          <a:extLst>
            <a:ext uri="{FF2B5EF4-FFF2-40B4-BE49-F238E27FC236}">
              <a16:creationId xmlns:a16="http://schemas.microsoft.com/office/drawing/2014/main" id="{65AD180B-CBF0-447B-9507-BB273F1D639C}"/>
            </a:ext>
          </a:extLst>
        </xdr:cNvPr>
        <xdr:cNvSpPr>
          <a:spLocks noChangeShapeType="1"/>
        </xdr:cNvSpPr>
      </xdr:nvSpPr>
      <xdr:spPr bwMode="auto">
        <a:xfrm>
          <a:off x="3228975" y="2057400"/>
          <a:ext cx="0" cy="6477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10</xdr:row>
      <xdr:rowOff>152400</xdr:rowOff>
    </xdr:from>
    <xdr:to>
      <xdr:col>7</xdr:col>
      <xdr:colOff>257175</xdr:colOff>
      <xdr:row>14</xdr:row>
      <xdr:rowOff>38100</xdr:rowOff>
    </xdr:to>
    <xdr:sp macro="" textlink="">
      <xdr:nvSpPr>
        <xdr:cNvPr id="85689" name="Rectangle 697">
          <a:extLst>
            <a:ext uri="{FF2B5EF4-FFF2-40B4-BE49-F238E27FC236}">
              <a16:creationId xmlns:a16="http://schemas.microsoft.com/office/drawing/2014/main" id="{58185EB9-86FD-46F0-B0DB-085EDC43F8FE}"/>
            </a:ext>
          </a:extLst>
        </xdr:cNvPr>
        <xdr:cNvSpPr>
          <a:spLocks noChangeArrowheads="1"/>
        </xdr:cNvSpPr>
      </xdr:nvSpPr>
      <xdr:spPr bwMode="auto">
        <a:xfrm>
          <a:off x="3228975" y="2057400"/>
          <a:ext cx="12954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190500" rIns="1270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Wydatki Funduszu Pracy w zł </a:t>
          </a:r>
          <a:r>
            <a:rPr lang="pl-P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a)</a:t>
          </a:r>
        </a:p>
      </xdr:txBody>
    </xdr:sp>
    <xdr:clientData/>
  </xdr:twoCellAnchor>
  <xdr:twoCellAnchor>
    <xdr:from>
      <xdr:col>5</xdr:col>
      <xdr:colOff>180975</xdr:colOff>
      <xdr:row>10</xdr:row>
      <xdr:rowOff>152400</xdr:rowOff>
    </xdr:from>
    <xdr:to>
      <xdr:col>7</xdr:col>
      <xdr:colOff>257175</xdr:colOff>
      <xdr:row>10</xdr:row>
      <xdr:rowOff>152400</xdr:rowOff>
    </xdr:to>
    <xdr:sp macro="" textlink="">
      <xdr:nvSpPr>
        <xdr:cNvPr id="85688" name="Line 696">
          <a:extLst>
            <a:ext uri="{FF2B5EF4-FFF2-40B4-BE49-F238E27FC236}">
              <a16:creationId xmlns:a16="http://schemas.microsoft.com/office/drawing/2014/main" id="{3269722C-9AFD-4A8A-AD1F-3BB6C23E254A}"/>
            </a:ext>
          </a:extLst>
        </xdr:cNvPr>
        <xdr:cNvSpPr>
          <a:spLocks noChangeShapeType="1"/>
        </xdr:cNvSpPr>
      </xdr:nvSpPr>
      <xdr:spPr bwMode="auto">
        <a:xfrm>
          <a:off x="3228975" y="2057400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14</xdr:row>
      <xdr:rowOff>38100</xdr:rowOff>
    </xdr:from>
    <xdr:to>
      <xdr:col>7</xdr:col>
      <xdr:colOff>257175</xdr:colOff>
      <xdr:row>14</xdr:row>
      <xdr:rowOff>38100</xdr:rowOff>
    </xdr:to>
    <xdr:sp macro="" textlink="">
      <xdr:nvSpPr>
        <xdr:cNvPr id="85687" name="Line 695">
          <a:extLst>
            <a:ext uri="{FF2B5EF4-FFF2-40B4-BE49-F238E27FC236}">
              <a16:creationId xmlns:a16="http://schemas.microsoft.com/office/drawing/2014/main" id="{572AAD32-6652-45DF-B371-F3BB80E43B42}"/>
            </a:ext>
          </a:extLst>
        </xdr:cNvPr>
        <xdr:cNvSpPr>
          <a:spLocks noChangeShapeType="1"/>
        </xdr:cNvSpPr>
      </xdr:nvSpPr>
      <xdr:spPr bwMode="auto">
        <a:xfrm>
          <a:off x="3228975" y="2705100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10</xdr:row>
      <xdr:rowOff>152400</xdr:rowOff>
    </xdr:from>
    <xdr:to>
      <xdr:col>7</xdr:col>
      <xdr:colOff>257175</xdr:colOff>
      <xdr:row>14</xdr:row>
      <xdr:rowOff>38100</xdr:rowOff>
    </xdr:to>
    <xdr:sp macro="" textlink="">
      <xdr:nvSpPr>
        <xdr:cNvPr id="85686" name="Line 694">
          <a:extLst>
            <a:ext uri="{FF2B5EF4-FFF2-40B4-BE49-F238E27FC236}">
              <a16:creationId xmlns:a16="http://schemas.microsoft.com/office/drawing/2014/main" id="{6516812B-33E8-4BB1-A9C3-D804716D58D0}"/>
            </a:ext>
          </a:extLst>
        </xdr:cNvPr>
        <xdr:cNvSpPr>
          <a:spLocks noChangeShapeType="1"/>
        </xdr:cNvSpPr>
      </xdr:nvSpPr>
      <xdr:spPr bwMode="auto">
        <a:xfrm>
          <a:off x="4524375" y="2057400"/>
          <a:ext cx="0" cy="6477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10</xdr:row>
      <xdr:rowOff>152400</xdr:rowOff>
    </xdr:from>
    <xdr:to>
      <xdr:col>8</xdr:col>
      <xdr:colOff>523875</xdr:colOff>
      <xdr:row>14</xdr:row>
      <xdr:rowOff>38100</xdr:rowOff>
    </xdr:to>
    <xdr:sp macro="" textlink="">
      <xdr:nvSpPr>
        <xdr:cNvPr id="85685" name="Rectangle 693">
          <a:extLst>
            <a:ext uri="{FF2B5EF4-FFF2-40B4-BE49-F238E27FC236}">
              <a16:creationId xmlns:a16="http://schemas.microsoft.com/office/drawing/2014/main" id="{C8260327-EC1C-4C43-8707-1D193B569251}"/>
            </a:ext>
          </a:extLst>
        </xdr:cNvPr>
        <xdr:cNvSpPr>
          <a:spLocks noChangeArrowheads="1"/>
        </xdr:cNvSpPr>
      </xdr:nvSpPr>
      <xdr:spPr bwMode="auto">
        <a:xfrm>
          <a:off x="4524375" y="2057400"/>
          <a:ext cx="8763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6350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Liczba osób uczestniczących w danej formie aktywizacji </a:t>
          </a:r>
          <a:r>
            <a:rPr lang="pl-P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b)</a:t>
          </a:r>
        </a:p>
      </xdr:txBody>
    </xdr:sp>
    <xdr:clientData/>
  </xdr:twoCellAnchor>
  <xdr:twoCellAnchor>
    <xdr:from>
      <xdr:col>7</xdr:col>
      <xdr:colOff>257175</xdr:colOff>
      <xdr:row>10</xdr:row>
      <xdr:rowOff>152400</xdr:rowOff>
    </xdr:from>
    <xdr:to>
      <xdr:col>8</xdr:col>
      <xdr:colOff>523875</xdr:colOff>
      <xdr:row>10</xdr:row>
      <xdr:rowOff>152400</xdr:rowOff>
    </xdr:to>
    <xdr:sp macro="" textlink="">
      <xdr:nvSpPr>
        <xdr:cNvPr id="85684" name="Line 692">
          <a:extLst>
            <a:ext uri="{FF2B5EF4-FFF2-40B4-BE49-F238E27FC236}">
              <a16:creationId xmlns:a16="http://schemas.microsoft.com/office/drawing/2014/main" id="{575C4D25-E515-41FC-A516-34BC38ABA035}"/>
            </a:ext>
          </a:extLst>
        </xdr:cNvPr>
        <xdr:cNvSpPr>
          <a:spLocks noChangeShapeType="1"/>
        </xdr:cNvSpPr>
      </xdr:nvSpPr>
      <xdr:spPr bwMode="auto">
        <a:xfrm>
          <a:off x="4524375" y="2057400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14</xdr:row>
      <xdr:rowOff>38100</xdr:rowOff>
    </xdr:from>
    <xdr:to>
      <xdr:col>8</xdr:col>
      <xdr:colOff>523875</xdr:colOff>
      <xdr:row>14</xdr:row>
      <xdr:rowOff>38100</xdr:rowOff>
    </xdr:to>
    <xdr:sp macro="" textlink="">
      <xdr:nvSpPr>
        <xdr:cNvPr id="85683" name="Line 691">
          <a:extLst>
            <a:ext uri="{FF2B5EF4-FFF2-40B4-BE49-F238E27FC236}">
              <a16:creationId xmlns:a16="http://schemas.microsoft.com/office/drawing/2014/main" id="{1EAA1C11-865F-430A-932A-CFC564AE2F14}"/>
            </a:ext>
          </a:extLst>
        </xdr:cNvPr>
        <xdr:cNvSpPr>
          <a:spLocks noChangeShapeType="1"/>
        </xdr:cNvSpPr>
      </xdr:nvSpPr>
      <xdr:spPr bwMode="auto">
        <a:xfrm>
          <a:off x="4524375" y="2705100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10</xdr:row>
      <xdr:rowOff>152400</xdr:rowOff>
    </xdr:from>
    <xdr:to>
      <xdr:col>8</xdr:col>
      <xdr:colOff>523875</xdr:colOff>
      <xdr:row>14</xdr:row>
      <xdr:rowOff>38100</xdr:rowOff>
    </xdr:to>
    <xdr:sp macro="" textlink="">
      <xdr:nvSpPr>
        <xdr:cNvPr id="85682" name="Line 690">
          <a:extLst>
            <a:ext uri="{FF2B5EF4-FFF2-40B4-BE49-F238E27FC236}">
              <a16:creationId xmlns:a16="http://schemas.microsoft.com/office/drawing/2014/main" id="{9335B6FE-8F42-4F86-A861-11610E5C94C0}"/>
            </a:ext>
          </a:extLst>
        </xdr:cNvPr>
        <xdr:cNvSpPr>
          <a:spLocks noChangeShapeType="1"/>
        </xdr:cNvSpPr>
      </xdr:nvSpPr>
      <xdr:spPr bwMode="auto">
        <a:xfrm>
          <a:off x="5400675" y="2057400"/>
          <a:ext cx="0" cy="6477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10</xdr:row>
      <xdr:rowOff>152400</xdr:rowOff>
    </xdr:from>
    <xdr:to>
      <xdr:col>10</xdr:col>
      <xdr:colOff>190500</xdr:colOff>
      <xdr:row>14</xdr:row>
      <xdr:rowOff>38100</xdr:rowOff>
    </xdr:to>
    <xdr:sp macro="" textlink="">
      <xdr:nvSpPr>
        <xdr:cNvPr id="85681" name="Rectangle 689">
          <a:extLst>
            <a:ext uri="{FF2B5EF4-FFF2-40B4-BE49-F238E27FC236}">
              <a16:creationId xmlns:a16="http://schemas.microsoft.com/office/drawing/2014/main" id="{DBC582C4-FAF9-4C99-9639-C8A524B02B2C}"/>
            </a:ext>
          </a:extLst>
        </xdr:cNvPr>
        <xdr:cNvSpPr>
          <a:spLocks noChangeArrowheads="1"/>
        </xdr:cNvSpPr>
      </xdr:nvSpPr>
      <xdr:spPr bwMode="auto">
        <a:xfrm>
          <a:off x="5400675" y="2057400"/>
          <a:ext cx="8858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Liczba osób, które zakończyły udział w danej formie aktywizacji </a:t>
          </a:r>
          <a:r>
            <a:rPr lang="pl-P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b)</a:t>
          </a:r>
        </a:p>
      </xdr:txBody>
    </xdr:sp>
    <xdr:clientData/>
  </xdr:twoCellAnchor>
  <xdr:twoCellAnchor>
    <xdr:from>
      <xdr:col>8</xdr:col>
      <xdr:colOff>523875</xdr:colOff>
      <xdr:row>10</xdr:row>
      <xdr:rowOff>152400</xdr:rowOff>
    </xdr:from>
    <xdr:to>
      <xdr:col>10</xdr:col>
      <xdr:colOff>190500</xdr:colOff>
      <xdr:row>10</xdr:row>
      <xdr:rowOff>152400</xdr:rowOff>
    </xdr:to>
    <xdr:sp macro="" textlink="">
      <xdr:nvSpPr>
        <xdr:cNvPr id="85680" name="Line 688">
          <a:extLst>
            <a:ext uri="{FF2B5EF4-FFF2-40B4-BE49-F238E27FC236}">
              <a16:creationId xmlns:a16="http://schemas.microsoft.com/office/drawing/2014/main" id="{9EE1F37F-11B0-4BC4-ADFF-F4E5D8D65E72}"/>
            </a:ext>
          </a:extLst>
        </xdr:cNvPr>
        <xdr:cNvSpPr>
          <a:spLocks noChangeShapeType="1"/>
        </xdr:cNvSpPr>
      </xdr:nvSpPr>
      <xdr:spPr bwMode="auto">
        <a:xfrm>
          <a:off x="5400675" y="2057400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14</xdr:row>
      <xdr:rowOff>38100</xdr:rowOff>
    </xdr:from>
    <xdr:to>
      <xdr:col>10</xdr:col>
      <xdr:colOff>190500</xdr:colOff>
      <xdr:row>14</xdr:row>
      <xdr:rowOff>38100</xdr:rowOff>
    </xdr:to>
    <xdr:sp macro="" textlink="">
      <xdr:nvSpPr>
        <xdr:cNvPr id="85679" name="Line 687">
          <a:extLst>
            <a:ext uri="{FF2B5EF4-FFF2-40B4-BE49-F238E27FC236}">
              <a16:creationId xmlns:a16="http://schemas.microsoft.com/office/drawing/2014/main" id="{2FF653A4-DFCA-47F4-8F15-56ED473C2963}"/>
            </a:ext>
          </a:extLst>
        </xdr:cNvPr>
        <xdr:cNvSpPr>
          <a:spLocks noChangeShapeType="1"/>
        </xdr:cNvSpPr>
      </xdr:nvSpPr>
      <xdr:spPr bwMode="auto">
        <a:xfrm>
          <a:off x="5400675" y="2705100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10</xdr:row>
      <xdr:rowOff>152400</xdr:rowOff>
    </xdr:from>
    <xdr:to>
      <xdr:col>10</xdr:col>
      <xdr:colOff>190500</xdr:colOff>
      <xdr:row>14</xdr:row>
      <xdr:rowOff>38100</xdr:rowOff>
    </xdr:to>
    <xdr:sp macro="" textlink="">
      <xdr:nvSpPr>
        <xdr:cNvPr id="85678" name="Line 686">
          <a:extLst>
            <a:ext uri="{FF2B5EF4-FFF2-40B4-BE49-F238E27FC236}">
              <a16:creationId xmlns:a16="http://schemas.microsoft.com/office/drawing/2014/main" id="{5CD1F186-D116-49AC-B207-5231D8712A58}"/>
            </a:ext>
          </a:extLst>
        </xdr:cNvPr>
        <xdr:cNvSpPr>
          <a:spLocks noChangeShapeType="1"/>
        </xdr:cNvSpPr>
      </xdr:nvSpPr>
      <xdr:spPr bwMode="auto">
        <a:xfrm>
          <a:off x="6286500" y="2057400"/>
          <a:ext cx="0" cy="6477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10</xdr:row>
      <xdr:rowOff>152400</xdr:rowOff>
    </xdr:from>
    <xdr:to>
      <xdr:col>11</xdr:col>
      <xdr:colOff>466725</xdr:colOff>
      <xdr:row>14</xdr:row>
      <xdr:rowOff>38100</xdr:rowOff>
    </xdr:to>
    <xdr:sp macro="" textlink="">
      <xdr:nvSpPr>
        <xdr:cNvPr id="85677" name="Rectangle 685">
          <a:extLst>
            <a:ext uri="{FF2B5EF4-FFF2-40B4-BE49-F238E27FC236}">
              <a16:creationId xmlns:a16="http://schemas.microsoft.com/office/drawing/2014/main" id="{F342DD79-1FE6-4646-930D-EA1B77E08DBF}"/>
            </a:ext>
          </a:extLst>
        </xdr:cNvPr>
        <xdr:cNvSpPr>
          <a:spLocks noChangeArrowheads="1"/>
        </xdr:cNvSpPr>
      </xdr:nvSpPr>
      <xdr:spPr bwMode="auto">
        <a:xfrm>
          <a:off x="6286500" y="2057400"/>
          <a:ext cx="8858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12700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Liczba osób, które zostały zatrudnione </a:t>
          </a:r>
          <a:r>
            <a:rPr lang="pl-P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b)</a:t>
          </a:r>
        </a:p>
      </xdr:txBody>
    </xdr:sp>
    <xdr:clientData/>
  </xdr:twoCellAnchor>
  <xdr:twoCellAnchor>
    <xdr:from>
      <xdr:col>10</xdr:col>
      <xdr:colOff>190500</xdr:colOff>
      <xdr:row>10</xdr:row>
      <xdr:rowOff>152400</xdr:rowOff>
    </xdr:from>
    <xdr:to>
      <xdr:col>11</xdr:col>
      <xdr:colOff>476250</xdr:colOff>
      <xdr:row>10</xdr:row>
      <xdr:rowOff>152400</xdr:rowOff>
    </xdr:to>
    <xdr:sp macro="" textlink="">
      <xdr:nvSpPr>
        <xdr:cNvPr id="85676" name="Line 684">
          <a:extLst>
            <a:ext uri="{FF2B5EF4-FFF2-40B4-BE49-F238E27FC236}">
              <a16:creationId xmlns:a16="http://schemas.microsoft.com/office/drawing/2014/main" id="{F9215F8B-C851-4FFA-B62C-87D914BB1392}"/>
            </a:ext>
          </a:extLst>
        </xdr:cNvPr>
        <xdr:cNvSpPr>
          <a:spLocks noChangeShapeType="1"/>
        </xdr:cNvSpPr>
      </xdr:nvSpPr>
      <xdr:spPr bwMode="auto">
        <a:xfrm>
          <a:off x="6286500" y="2057400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14</xdr:row>
      <xdr:rowOff>38100</xdr:rowOff>
    </xdr:from>
    <xdr:to>
      <xdr:col>11</xdr:col>
      <xdr:colOff>476250</xdr:colOff>
      <xdr:row>14</xdr:row>
      <xdr:rowOff>38100</xdr:rowOff>
    </xdr:to>
    <xdr:sp macro="" textlink="">
      <xdr:nvSpPr>
        <xdr:cNvPr id="85675" name="Line 683">
          <a:extLst>
            <a:ext uri="{FF2B5EF4-FFF2-40B4-BE49-F238E27FC236}">
              <a16:creationId xmlns:a16="http://schemas.microsoft.com/office/drawing/2014/main" id="{B0533136-3341-433D-A784-BB305FCF824B}"/>
            </a:ext>
          </a:extLst>
        </xdr:cNvPr>
        <xdr:cNvSpPr>
          <a:spLocks noChangeShapeType="1"/>
        </xdr:cNvSpPr>
      </xdr:nvSpPr>
      <xdr:spPr bwMode="auto">
        <a:xfrm>
          <a:off x="6286500" y="2705100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10</xdr:row>
      <xdr:rowOff>152400</xdr:rowOff>
    </xdr:from>
    <xdr:to>
      <xdr:col>11</xdr:col>
      <xdr:colOff>466725</xdr:colOff>
      <xdr:row>14</xdr:row>
      <xdr:rowOff>38100</xdr:rowOff>
    </xdr:to>
    <xdr:sp macro="" textlink="">
      <xdr:nvSpPr>
        <xdr:cNvPr id="85674" name="Line 682">
          <a:extLst>
            <a:ext uri="{FF2B5EF4-FFF2-40B4-BE49-F238E27FC236}">
              <a16:creationId xmlns:a16="http://schemas.microsoft.com/office/drawing/2014/main" id="{E5C2F6DF-2A24-433D-B455-FFD3D23F783A}"/>
            </a:ext>
          </a:extLst>
        </xdr:cNvPr>
        <xdr:cNvSpPr>
          <a:spLocks noChangeShapeType="1"/>
        </xdr:cNvSpPr>
      </xdr:nvSpPr>
      <xdr:spPr bwMode="auto">
        <a:xfrm>
          <a:off x="7172325" y="2057400"/>
          <a:ext cx="0" cy="6477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14</xdr:row>
      <xdr:rowOff>38100</xdr:rowOff>
    </xdr:from>
    <xdr:to>
      <xdr:col>11</xdr:col>
      <xdr:colOff>466725</xdr:colOff>
      <xdr:row>14</xdr:row>
      <xdr:rowOff>161925</xdr:rowOff>
    </xdr:to>
    <xdr:sp macro="" textlink="">
      <xdr:nvSpPr>
        <xdr:cNvPr id="85673" name="Rectangle 681">
          <a:extLst>
            <a:ext uri="{FF2B5EF4-FFF2-40B4-BE49-F238E27FC236}">
              <a16:creationId xmlns:a16="http://schemas.microsoft.com/office/drawing/2014/main" id="{03B818E8-87DB-4B20-B6B4-2034617206BF}"/>
            </a:ext>
          </a:extLst>
        </xdr:cNvPr>
        <xdr:cNvSpPr>
          <a:spLocks noChangeArrowheads="1"/>
        </xdr:cNvSpPr>
      </xdr:nvSpPr>
      <xdr:spPr bwMode="auto">
        <a:xfrm>
          <a:off x="381000" y="2705100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14</xdr:row>
      <xdr:rowOff>38100</xdr:rowOff>
    </xdr:from>
    <xdr:to>
      <xdr:col>5</xdr:col>
      <xdr:colOff>180975</xdr:colOff>
      <xdr:row>14</xdr:row>
      <xdr:rowOff>161925</xdr:rowOff>
    </xdr:to>
    <xdr:sp macro="" textlink="">
      <xdr:nvSpPr>
        <xdr:cNvPr id="85672" name="Rectangle 680">
          <a:extLst>
            <a:ext uri="{FF2B5EF4-FFF2-40B4-BE49-F238E27FC236}">
              <a16:creationId xmlns:a16="http://schemas.microsoft.com/office/drawing/2014/main" id="{1783EC1F-9514-443E-A40B-44ED6BA0BD21}"/>
            </a:ext>
          </a:extLst>
        </xdr:cNvPr>
        <xdr:cNvSpPr>
          <a:spLocks noChangeArrowheads="1"/>
        </xdr:cNvSpPr>
      </xdr:nvSpPr>
      <xdr:spPr bwMode="auto">
        <a:xfrm>
          <a:off x="381000" y="2705100"/>
          <a:ext cx="28479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0</xdr:col>
      <xdr:colOff>381000</xdr:colOff>
      <xdr:row>14</xdr:row>
      <xdr:rowOff>38100</xdr:rowOff>
    </xdr:from>
    <xdr:to>
      <xdr:col>0</xdr:col>
      <xdr:colOff>381000</xdr:colOff>
      <xdr:row>14</xdr:row>
      <xdr:rowOff>171450</xdr:rowOff>
    </xdr:to>
    <xdr:sp macro="" textlink="">
      <xdr:nvSpPr>
        <xdr:cNvPr id="85671" name="Line 679">
          <a:extLst>
            <a:ext uri="{FF2B5EF4-FFF2-40B4-BE49-F238E27FC236}">
              <a16:creationId xmlns:a16="http://schemas.microsoft.com/office/drawing/2014/main" id="{26E26EBC-A005-4421-8334-0104DB55344A}"/>
            </a:ext>
          </a:extLst>
        </xdr:cNvPr>
        <xdr:cNvSpPr>
          <a:spLocks noChangeShapeType="1"/>
        </xdr:cNvSpPr>
      </xdr:nvSpPr>
      <xdr:spPr bwMode="auto">
        <a:xfrm>
          <a:off x="381000" y="270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14</xdr:row>
      <xdr:rowOff>161925</xdr:rowOff>
    </xdr:from>
    <xdr:to>
      <xdr:col>5</xdr:col>
      <xdr:colOff>180975</xdr:colOff>
      <xdr:row>14</xdr:row>
      <xdr:rowOff>161925</xdr:rowOff>
    </xdr:to>
    <xdr:sp macro="" textlink="">
      <xdr:nvSpPr>
        <xdr:cNvPr id="85670" name="Line 678">
          <a:extLst>
            <a:ext uri="{FF2B5EF4-FFF2-40B4-BE49-F238E27FC236}">
              <a16:creationId xmlns:a16="http://schemas.microsoft.com/office/drawing/2014/main" id="{7C062046-7093-4455-BC72-515D321C49AD}"/>
            </a:ext>
          </a:extLst>
        </xdr:cNvPr>
        <xdr:cNvSpPr>
          <a:spLocks noChangeShapeType="1"/>
        </xdr:cNvSpPr>
      </xdr:nvSpPr>
      <xdr:spPr bwMode="auto">
        <a:xfrm>
          <a:off x="381000" y="2828925"/>
          <a:ext cx="28479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14</xdr:row>
      <xdr:rowOff>38100</xdr:rowOff>
    </xdr:from>
    <xdr:to>
      <xdr:col>5</xdr:col>
      <xdr:colOff>180975</xdr:colOff>
      <xdr:row>14</xdr:row>
      <xdr:rowOff>171450</xdr:rowOff>
    </xdr:to>
    <xdr:sp macro="" textlink="">
      <xdr:nvSpPr>
        <xdr:cNvPr id="85669" name="Line 677">
          <a:extLst>
            <a:ext uri="{FF2B5EF4-FFF2-40B4-BE49-F238E27FC236}">
              <a16:creationId xmlns:a16="http://schemas.microsoft.com/office/drawing/2014/main" id="{23319151-AC8D-4331-A309-33FA6E86E22E}"/>
            </a:ext>
          </a:extLst>
        </xdr:cNvPr>
        <xdr:cNvSpPr>
          <a:spLocks noChangeShapeType="1"/>
        </xdr:cNvSpPr>
      </xdr:nvSpPr>
      <xdr:spPr bwMode="auto">
        <a:xfrm>
          <a:off x="3228975" y="270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14</xdr:row>
      <xdr:rowOff>38100</xdr:rowOff>
    </xdr:from>
    <xdr:to>
      <xdr:col>7</xdr:col>
      <xdr:colOff>257175</xdr:colOff>
      <xdr:row>14</xdr:row>
      <xdr:rowOff>161925</xdr:rowOff>
    </xdr:to>
    <xdr:sp macro="" textlink="">
      <xdr:nvSpPr>
        <xdr:cNvPr id="85668" name="Rectangle 676">
          <a:extLst>
            <a:ext uri="{FF2B5EF4-FFF2-40B4-BE49-F238E27FC236}">
              <a16:creationId xmlns:a16="http://schemas.microsoft.com/office/drawing/2014/main" id="{85EEABD8-FC72-4C39-A543-546EE690D05F}"/>
            </a:ext>
          </a:extLst>
        </xdr:cNvPr>
        <xdr:cNvSpPr>
          <a:spLocks noChangeArrowheads="1"/>
        </xdr:cNvSpPr>
      </xdr:nvSpPr>
      <xdr:spPr bwMode="auto">
        <a:xfrm>
          <a:off x="3228975" y="2705100"/>
          <a:ext cx="1295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5</xdr:col>
      <xdr:colOff>180975</xdr:colOff>
      <xdr:row>14</xdr:row>
      <xdr:rowOff>161925</xdr:rowOff>
    </xdr:from>
    <xdr:to>
      <xdr:col>7</xdr:col>
      <xdr:colOff>257175</xdr:colOff>
      <xdr:row>14</xdr:row>
      <xdr:rowOff>161925</xdr:rowOff>
    </xdr:to>
    <xdr:sp macro="" textlink="">
      <xdr:nvSpPr>
        <xdr:cNvPr id="85667" name="Line 675">
          <a:extLst>
            <a:ext uri="{FF2B5EF4-FFF2-40B4-BE49-F238E27FC236}">
              <a16:creationId xmlns:a16="http://schemas.microsoft.com/office/drawing/2014/main" id="{6235F78E-138E-4F7C-8483-45DD07A23F2D}"/>
            </a:ext>
          </a:extLst>
        </xdr:cNvPr>
        <xdr:cNvSpPr>
          <a:spLocks noChangeShapeType="1"/>
        </xdr:cNvSpPr>
      </xdr:nvSpPr>
      <xdr:spPr bwMode="auto">
        <a:xfrm>
          <a:off x="3228975" y="282892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14</xdr:row>
      <xdr:rowOff>38100</xdr:rowOff>
    </xdr:from>
    <xdr:to>
      <xdr:col>7</xdr:col>
      <xdr:colOff>257175</xdr:colOff>
      <xdr:row>14</xdr:row>
      <xdr:rowOff>171450</xdr:rowOff>
    </xdr:to>
    <xdr:sp macro="" textlink="">
      <xdr:nvSpPr>
        <xdr:cNvPr id="85666" name="Line 674">
          <a:extLst>
            <a:ext uri="{FF2B5EF4-FFF2-40B4-BE49-F238E27FC236}">
              <a16:creationId xmlns:a16="http://schemas.microsoft.com/office/drawing/2014/main" id="{30E75C9B-A863-4BB1-84A4-7386C56483A3}"/>
            </a:ext>
          </a:extLst>
        </xdr:cNvPr>
        <xdr:cNvSpPr>
          <a:spLocks noChangeShapeType="1"/>
        </xdr:cNvSpPr>
      </xdr:nvSpPr>
      <xdr:spPr bwMode="auto">
        <a:xfrm>
          <a:off x="4524375" y="270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14</xdr:row>
      <xdr:rowOff>38100</xdr:rowOff>
    </xdr:from>
    <xdr:to>
      <xdr:col>8</xdr:col>
      <xdr:colOff>523875</xdr:colOff>
      <xdr:row>14</xdr:row>
      <xdr:rowOff>161925</xdr:rowOff>
    </xdr:to>
    <xdr:sp macro="" textlink="">
      <xdr:nvSpPr>
        <xdr:cNvPr id="85665" name="Rectangle 673">
          <a:extLst>
            <a:ext uri="{FF2B5EF4-FFF2-40B4-BE49-F238E27FC236}">
              <a16:creationId xmlns:a16="http://schemas.microsoft.com/office/drawing/2014/main" id="{05CFDAD0-12BF-40C5-8815-455599E09D99}"/>
            </a:ext>
          </a:extLst>
        </xdr:cNvPr>
        <xdr:cNvSpPr>
          <a:spLocks noChangeArrowheads="1"/>
        </xdr:cNvSpPr>
      </xdr:nvSpPr>
      <xdr:spPr bwMode="auto">
        <a:xfrm>
          <a:off x="4524375" y="2705100"/>
          <a:ext cx="876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7</xdr:col>
      <xdr:colOff>257175</xdr:colOff>
      <xdr:row>14</xdr:row>
      <xdr:rowOff>161925</xdr:rowOff>
    </xdr:from>
    <xdr:to>
      <xdr:col>8</xdr:col>
      <xdr:colOff>523875</xdr:colOff>
      <xdr:row>14</xdr:row>
      <xdr:rowOff>161925</xdr:rowOff>
    </xdr:to>
    <xdr:sp macro="" textlink="">
      <xdr:nvSpPr>
        <xdr:cNvPr id="85664" name="Line 672">
          <a:extLst>
            <a:ext uri="{FF2B5EF4-FFF2-40B4-BE49-F238E27FC236}">
              <a16:creationId xmlns:a16="http://schemas.microsoft.com/office/drawing/2014/main" id="{1ABF1ACD-B29C-4EC8-97E7-EA0FAE904EE8}"/>
            </a:ext>
          </a:extLst>
        </xdr:cNvPr>
        <xdr:cNvSpPr>
          <a:spLocks noChangeShapeType="1"/>
        </xdr:cNvSpPr>
      </xdr:nvSpPr>
      <xdr:spPr bwMode="auto">
        <a:xfrm>
          <a:off x="4524375" y="282892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14</xdr:row>
      <xdr:rowOff>38100</xdr:rowOff>
    </xdr:from>
    <xdr:to>
      <xdr:col>8</xdr:col>
      <xdr:colOff>523875</xdr:colOff>
      <xdr:row>14</xdr:row>
      <xdr:rowOff>171450</xdr:rowOff>
    </xdr:to>
    <xdr:sp macro="" textlink="">
      <xdr:nvSpPr>
        <xdr:cNvPr id="85663" name="Line 671">
          <a:extLst>
            <a:ext uri="{FF2B5EF4-FFF2-40B4-BE49-F238E27FC236}">
              <a16:creationId xmlns:a16="http://schemas.microsoft.com/office/drawing/2014/main" id="{352F1C80-8C9E-45DE-A2AC-16427B6EE723}"/>
            </a:ext>
          </a:extLst>
        </xdr:cNvPr>
        <xdr:cNvSpPr>
          <a:spLocks noChangeShapeType="1"/>
        </xdr:cNvSpPr>
      </xdr:nvSpPr>
      <xdr:spPr bwMode="auto">
        <a:xfrm>
          <a:off x="5400675" y="270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14</xdr:row>
      <xdr:rowOff>38100</xdr:rowOff>
    </xdr:from>
    <xdr:to>
      <xdr:col>10</xdr:col>
      <xdr:colOff>190500</xdr:colOff>
      <xdr:row>14</xdr:row>
      <xdr:rowOff>161925</xdr:rowOff>
    </xdr:to>
    <xdr:sp macro="" textlink="">
      <xdr:nvSpPr>
        <xdr:cNvPr id="85662" name="Rectangle 670">
          <a:extLst>
            <a:ext uri="{FF2B5EF4-FFF2-40B4-BE49-F238E27FC236}">
              <a16:creationId xmlns:a16="http://schemas.microsoft.com/office/drawing/2014/main" id="{81D24FD5-D599-4BEF-B12A-F1D49E280FF8}"/>
            </a:ext>
          </a:extLst>
        </xdr:cNvPr>
        <xdr:cNvSpPr>
          <a:spLocks noChangeArrowheads="1"/>
        </xdr:cNvSpPr>
      </xdr:nvSpPr>
      <xdr:spPr bwMode="auto">
        <a:xfrm>
          <a:off x="5400675" y="2705100"/>
          <a:ext cx="885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8</xdr:col>
      <xdr:colOff>523875</xdr:colOff>
      <xdr:row>14</xdr:row>
      <xdr:rowOff>161925</xdr:rowOff>
    </xdr:from>
    <xdr:to>
      <xdr:col>10</xdr:col>
      <xdr:colOff>190500</xdr:colOff>
      <xdr:row>14</xdr:row>
      <xdr:rowOff>161925</xdr:rowOff>
    </xdr:to>
    <xdr:sp macro="" textlink="">
      <xdr:nvSpPr>
        <xdr:cNvPr id="85661" name="Line 669">
          <a:extLst>
            <a:ext uri="{FF2B5EF4-FFF2-40B4-BE49-F238E27FC236}">
              <a16:creationId xmlns:a16="http://schemas.microsoft.com/office/drawing/2014/main" id="{79979E5B-9E8C-4983-9D2E-BF807FA5100E}"/>
            </a:ext>
          </a:extLst>
        </xdr:cNvPr>
        <xdr:cNvSpPr>
          <a:spLocks noChangeShapeType="1"/>
        </xdr:cNvSpPr>
      </xdr:nvSpPr>
      <xdr:spPr bwMode="auto">
        <a:xfrm>
          <a:off x="5400675" y="282892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14</xdr:row>
      <xdr:rowOff>38100</xdr:rowOff>
    </xdr:from>
    <xdr:to>
      <xdr:col>10</xdr:col>
      <xdr:colOff>190500</xdr:colOff>
      <xdr:row>14</xdr:row>
      <xdr:rowOff>171450</xdr:rowOff>
    </xdr:to>
    <xdr:sp macro="" textlink="">
      <xdr:nvSpPr>
        <xdr:cNvPr id="85660" name="Line 668">
          <a:extLst>
            <a:ext uri="{FF2B5EF4-FFF2-40B4-BE49-F238E27FC236}">
              <a16:creationId xmlns:a16="http://schemas.microsoft.com/office/drawing/2014/main" id="{F7C1331A-9D76-4335-B4FB-9CBD2CB6E649}"/>
            </a:ext>
          </a:extLst>
        </xdr:cNvPr>
        <xdr:cNvSpPr>
          <a:spLocks noChangeShapeType="1"/>
        </xdr:cNvSpPr>
      </xdr:nvSpPr>
      <xdr:spPr bwMode="auto">
        <a:xfrm>
          <a:off x="6286500" y="270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14</xdr:row>
      <xdr:rowOff>38100</xdr:rowOff>
    </xdr:from>
    <xdr:to>
      <xdr:col>11</xdr:col>
      <xdr:colOff>466725</xdr:colOff>
      <xdr:row>14</xdr:row>
      <xdr:rowOff>161925</xdr:rowOff>
    </xdr:to>
    <xdr:sp macro="" textlink="">
      <xdr:nvSpPr>
        <xdr:cNvPr id="85659" name="Rectangle 667">
          <a:extLst>
            <a:ext uri="{FF2B5EF4-FFF2-40B4-BE49-F238E27FC236}">
              <a16:creationId xmlns:a16="http://schemas.microsoft.com/office/drawing/2014/main" id="{57C08937-7FEC-41C3-8DF1-90618D39D2E3}"/>
            </a:ext>
          </a:extLst>
        </xdr:cNvPr>
        <xdr:cNvSpPr>
          <a:spLocks noChangeArrowheads="1"/>
        </xdr:cNvSpPr>
      </xdr:nvSpPr>
      <xdr:spPr bwMode="auto">
        <a:xfrm>
          <a:off x="6286500" y="2705100"/>
          <a:ext cx="885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10</xdr:col>
      <xdr:colOff>190500</xdr:colOff>
      <xdr:row>14</xdr:row>
      <xdr:rowOff>161925</xdr:rowOff>
    </xdr:from>
    <xdr:to>
      <xdr:col>11</xdr:col>
      <xdr:colOff>476250</xdr:colOff>
      <xdr:row>14</xdr:row>
      <xdr:rowOff>161925</xdr:rowOff>
    </xdr:to>
    <xdr:sp macro="" textlink="">
      <xdr:nvSpPr>
        <xdr:cNvPr id="85658" name="Line 666">
          <a:extLst>
            <a:ext uri="{FF2B5EF4-FFF2-40B4-BE49-F238E27FC236}">
              <a16:creationId xmlns:a16="http://schemas.microsoft.com/office/drawing/2014/main" id="{B2DFA308-0D17-4A01-9C4E-1A36D13B4EED}"/>
            </a:ext>
          </a:extLst>
        </xdr:cNvPr>
        <xdr:cNvSpPr>
          <a:spLocks noChangeShapeType="1"/>
        </xdr:cNvSpPr>
      </xdr:nvSpPr>
      <xdr:spPr bwMode="auto">
        <a:xfrm>
          <a:off x="6286500" y="282892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14</xdr:row>
      <xdr:rowOff>38100</xdr:rowOff>
    </xdr:from>
    <xdr:to>
      <xdr:col>11</xdr:col>
      <xdr:colOff>466725</xdr:colOff>
      <xdr:row>14</xdr:row>
      <xdr:rowOff>171450</xdr:rowOff>
    </xdr:to>
    <xdr:sp macro="" textlink="">
      <xdr:nvSpPr>
        <xdr:cNvPr id="85657" name="Line 665">
          <a:extLst>
            <a:ext uri="{FF2B5EF4-FFF2-40B4-BE49-F238E27FC236}">
              <a16:creationId xmlns:a16="http://schemas.microsoft.com/office/drawing/2014/main" id="{70263029-451E-4B49-A61E-5FE27720AC59}"/>
            </a:ext>
          </a:extLst>
        </xdr:cNvPr>
        <xdr:cNvSpPr>
          <a:spLocks noChangeShapeType="1"/>
        </xdr:cNvSpPr>
      </xdr:nvSpPr>
      <xdr:spPr bwMode="auto">
        <a:xfrm>
          <a:off x="7172325" y="270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14</xdr:row>
      <xdr:rowOff>161925</xdr:rowOff>
    </xdr:from>
    <xdr:to>
      <xdr:col>11</xdr:col>
      <xdr:colOff>466725</xdr:colOff>
      <xdr:row>16</xdr:row>
      <xdr:rowOff>38100</xdr:rowOff>
    </xdr:to>
    <xdr:sp macro="" textlink="">
      <xdr:nvSpPr>
        <xdr:cNvPr id="85656" name="Rectangle 664">
          <a:extLst>
            <a:ext uri="{FF2B5EF4-FFF2-40B4-BE49-F238E27FC236}">
              <a16:creationId xmlns:a16="http://schemas.microsoft.com/office/drawing/2014/main" id="{AD1BC34F-C09C-4FB3-9757-03A5E84106CE}"/>
            </a:ext>
          </a:extLst>
        </xdr:cNvPr>
        <xdr:cNvSpPr>
          <a:spLocks noChangeArrowheads="1"/>
        </xdr:cNvSpPr>
      </xdr:nvSpPr>
      <xdr:spPr bwMode="auto">
        <a:xfrm>
          <a:off x="381000" y="2828925"/>
          <a:ext cx="6791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14</xdr:row>
      <xdr:rowOff>161925</xdr:rowOff>
    </xdr:from>
    <xdr:to>
      <xdr:col>4</xdr:col>
      <xdr:colOff>381000</xdr:colOff>
      <xdr:row>16</xdr:row>
      <xdr:rowOff>38100</xdr:rowOff>
    </xdr:to>
    <xdr:sp macro="" textlink="">
      <xdr:nvSpPr>
        <xdr:cNvPr id="85655" name="Rectangle 663">
          <a:extLst>
            <a:ext uri="{FF2B5EF4-FFF2-40B4-BE49-F238E27FC236}">
              <a16:creationId xmlns:a16="http://schemas.microsoft.com/office/drawing/2014/main" id="{4ED664F8-7F8C-4A15-B8FC-E28CF0109590}"/>
            </a:ext>
          </a:extLst>
        </xdr:cNvPr>
        <xdr:cNvSpPr>
          <a:spLocks noChangeArrowheads="1"/>
        </xdr:cNvSpPr>
      </xdr:nvSpPr>
      <xdr:spPr bwMode="auto">
        <a:xfrm>
          <a:off x="381000" y="2828925"/>
          <a:ext cx="2438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Formy aktywizacji zawodowej, z tego (suma w. od 02 do 20, 22, od 24 do 30)</a:t>
          </a:r>
        </a:p>
      </xdr:txBody>
    </xdr:sp>
    <xdr:clientData/>
  </xdr:twoCellAnchor>
  <xdr:twoCellAnchor>
    <xdr:from>
      <xdr:col>0</xdr:col>
      <xdr:colOff>381000</xdr:colOff>
      <xdr:row>14</xdr:row>
      <xdr:rowOff>161925</xdr:rowOff>
    </xdr:from>
    <xdr:to>
      <xdr:col>0</xdr:col>
      <xdr:colOff>381000</xdr:colOff>
      <xdr:row>16</xdr:row>
      <xdr:rowOff>38100</xdr:rowOff>
    </xdr:to>
    <xdr:sp macro="" textlink="">
      <xdr:nvSpPr>
        <xdr:cNvPr id="85654" name="Line 662">
          <a:extLst>
            <a:ext uri="{FF2B5EF4-FFF2-40B4-BE49-F238E27FC236}">
              <a16:creationId xmlns:a16="http://schemas.microsoft.com/office/drawing/2014/main" id="{09289280-597F-48EE-9DED-F85BD8B0913A}"/>
            </a:ext>
          </a:extLst>
        </xdr:cNvPr>
        <xdr:cNvSpPr>
          <a:spLocks noChangeShapeType="1"/>
        </xdr:cNvSpPr>
      </xdr:nvSpPr>
      <xdr:spPr bwMode="auto">
        <a:xfrm>
          <a:off x="381000" y="2828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16</xdr:row>
      <xdr:rowOff>38100</xdr:rowOff>
    </xdr:from>
    <xdr:to>
      <xdr:col>4</xdr:col>
      <xdr:colOff>381000</xdr:colOff>
      <xdr:row>16</xdr:row>
      <xdr:rowOff>38100</xdr:rowOff>
    </xdr:to>
    <xdr:sp macro="" textlink="">
      <xdr:nvSpPr>
        <xdr:cNvPr id="85653" name="Line 661">
          <a:extLst>
            <a:ext uri="{FF2B5EF4-FFF2-40B4-BE49-F238E27FC236}">
              <a16:creationId xmlns:a16="http://schemas.microsoft.com/office/drawing/2014/main" id="{94B3B4A5-7BD9-4C84-9D48-C51760F9453D}"/>
            </a:ext>
          </a:extLst>
        </xdr:cNvPr>
        <xdr:cNvSpPr>
          <a:spLocks noChangeShapeType="1"/>
        </xdr:cNvSpPr>
      </xdr:nvSpPr>
      <xdr:spPr bwMode="auto">
        <a:xfrm>
          <a:off x="381000" y="3086100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14</xdr:row>
      <xdr:rowOff>161925</xdr:rowOff>
    </xdr:from>
    <xdr:to>
      <xdr:col>4</xdr:col>
      <xdr:colOff>381000</xdr:colOff>
      <xdr:row>16</xdr:row>
      <xdr:rowOff>38100</xdr:rowOff>
    </xdr:to>
    <xdr:sp macro="" textlink="">
      <xdr:nvSpPr>
        <xdr:cNvPr id="85652" name="Line 660">
          <a:extLst>
            <a:ext uri="{FF2B5EF4-FFF2-40B4-BE49-F238E27FC236}">
              <a16:creationId xmlns:a16="http://schemas.microsoft.com/office/drawing/2014/main" id="{ACA80E3A-E113-471C-AAFB-E067F81EAD64}"/>
            </a:ext>
          </a:extLst>
        </xdr:cNvPr>
        <xdr:cNvSpPr>
          <a:spLocks noChangeShapeType="1"/>
        </xdr:cNvSpPr>
      </xdr:nvSpPr>
      <xdr:spPr bwMode="auto">
        <a:xfrm>
          <a:off x="2819400" y="2828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14</xdr:row>
      <xdr:rowOff>161925</xdr:rowOff>
    </xdr:from>
    <xdr:to>
      <xdr:col>5</xdr:col>
      <xdr:colOff>180975</xdr:colOff>
      <xdr:row>16</xdr:row>
      <xdr:rowOff>38100</xdr:rowOff>
    </xdr:to>
    <xdr:sp macro="" textlink="">
      <xdr:nvSpPr>
        <xdr:cNvPr id="85651" name="Rectangle 659">
          <a:extLst>
            <a:ext uri="{FF2B5EF4-FFF2-40B4-BE49-F238E27FC236}">
              <a16:creationId xmlns:a16="http://schemas.microsoft.com/office/drawing/2014/main" id="{C08B78AA-A103-4D15-8777-61BAF8E820DF}"/>
            </a:ext>
          </a:extLst>
        </xdr:cNvPr>
        <xdr:cNvSpPr>
          <a:spLocks noChangeArrowheads="1"/>
        </xdr:cNvSpPr>
      </xdr:nvSpPr>
      <xdr:spPr bwMode="auto">
        <a:xfrm>
          <a:off x="2819400" y="2828925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6350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01</a:t>
          </a:r>
        </a:p>
      </xdr:txBody>
    </xdr:sp>
    <xdr:clientData/>
  </xdr:twoCellAnchor>
  <xdr:twoCellAnchor>
    <xdr:from>
      <xdr:col>4</xdr:col>
      <xdr:colOff>381000</xdr:colOff>
      <xdr:row>16</xdr:row>
      <xdr:rowOff>38100</xdr:rowOff>
    </xdr:from>
    <xdr:to>
      <xdr:col>5</xdr:col>
      <xdr:colOff>180975</xdr:colOff>
      <xdr:row>16</xdr:row>
      <xdr:rowOff>38100</xdr:rowOff>
    </xdr:to>
    <xdr:sp macro="" textlink="">
      <xdr:nvSpPr>
        <xdr:cNvPr id="85650" name="Line 658">
          <a:extLst>
            <a:ext uri="{FF2B5EF4-FFF2-40B4-BE49-F238E27FC236}">
              <a16:creationId xmlns:a16="http://schemas.microsoft.com/office/drawing/2014/main" id="{7B21F0E0-BD51-4E4C-B77C-D321875C0651}"/>
            </a:ext>
          </a:extLst>
        </xdr:cNvPr>
        <xdr:cNvSpPr>
          <a:spLocks noChangeShapeType="1"/>
        </xdr:cNvSpPr>
      </xdr:nvSpPr>
      <xdr:spPr bwMode="auto">
        <a:xfrm>
          <a:off x="2819400" y="3086100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14</xdr:row>
      <xdr:rowOff>161925</xdr:rowOff>
    </xdr:from>
    <xdr:to>
      <xdr:col>5</xdr:col>
      <xdr:colOff>180975</xdr:colOff>
      <xdr:row>16</xdr:row>
      <xdr:rowOff>38100</xdr:rowOff>
    </xdr:to>
    <xdr:sp macro="" textlink="">
      <xdr:nvSpPr>
        <xdr:cNvPr id="85649" name="Line 657">
          <a:extLst>
            <a:ext uri="{FF2B5EF4-FFF2-40B4-BE49-F238E27FC236}">
              <a16:creationId xmlns:a16="http://schemas.microsoft.com/office/drawing/2014/main" id="{8352D5EB-3452-4CAD-A648-9716F6C29262}"/>
            </a:ext>
          </a:extLst>
        </xdr:cNvPr>
        <xdr:cNvSpPr>
          <a:spLocks noChangeShapeType="1"/>
        </xdr:cNvSpPr>
      </xdr:nvSpPr>
      <xdr:spPr bwMode="auto">
        <a:xfrm>
          <a:off x="3228975" y="2828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16</xdr:row>
      <xdr:rowOff>38100</xdr:rowOff>
    </xdr:from>
    <xdr:to>
      <xdr:col>7</xdr:col>
      <xdr:colOff>257175</xdr:colOff>
      <xdr:row>16</xdr:row>
      <xdr:rowOff>38100</xdr:rowOff>
    </xdr:to>
    <xdr:sp macro="" textlink="">
      <xdr:nvSpPr>
        <xdr:cNvPr id="85647" name="Line 655">
          <a:extLst>
            <a:ext uri="{FF2B5EF4-FFF2-40B4-BE49-F238E27FC236}">
              <a16:creationId xmlns:a16="http://schemas.microsoft.com/office/drawing/2014/main" id="{E2B051F1-066B-474C-AF50-FA38408FF753}"/>
            </a:ext>
          </a:extLst>
        </xdr:cNvPr>
        <xdr:cNvSpPr>
          <a:spLocks noChangeShapeType="1"/>
        </xdr:cNvSpPr>
      </xdr:nvSpPr>
      <xdr:spPr bwMode="auto">
        <a:xfrm>
          <a:off x="3228975" y="3086100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14</xdr:row>
      <xdr:rowOff>161925</xdr:rowOff>
    </xdr:from>
    <xdr:to>
      <xdr:col>7</xdr:col>
      <xdr:colOff>257175</xdr:colOff>
      <xdr:row>16</xdr:row>
      <xdr:rowOff>38100</xdr:rowOff>
    </xdr:to>
    <xdr:sp macro="" textlink="">
      <xdr:nvSpPr>
        <xdr:cNvPr id="85646" name="Line 654">
          <a:extLst>
            <a:ext uri="{FF2B5EF4-FFF2-40B4-BE49-F238E27FC236}">
              <a16:creationId xmlns:a16="http://schemas.microsoft.com/office/drawing/2014/main" id="{FA7ACDC8-B1DC-4E27-BADC-DAEBF78837C6}"/>
            </a:ext>
          </a:extLst>
        </xdr:cNvPr>
        <xdr:cNvSpPr>
          <a:spLocks noChangeShapeType="1"/>
        </xdr:cNvSpPr>
      </xdr:nvSpPr>
      <xdr:spPr bwMode="auto">
        <a:xfrm>
          <a:off x="4524375" y="2828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16</xdr:row>
      <xdr:rowOff>38100</xdr:rowOff>
    </xdr:from>
    <xdr:to>
      <xdr:col>8</xdr:col>
      <xdr:colOff>523875</xdr:colOff>
      <xdr:row>16</xdr:row>
      <xdr:rowOff>38100</xdr:rowOff>
    </xdr:to>
    <xdr:sp macro="" textlink="">
      <xdr:nvSpPr>
        <xdr:cNvPr id="85644" name="Line 652">
          <a:extLst>
            <a:ext uri="{FF2B5EF4-FFF2-40B4-BE49-F238E27FC236}">
              <a16:creationId xmlns:a16="http://schemas.microsoft.com/office/drawing/2014/main" id="{9D688907-EB72-4B55-997F-9D24ECFB7509}"/>
            </a:ext>
          </a:extLst>
        </xdr:cNvPr>
        <xdr:cNvSpPr>
          <a:spLocks noChangeShapeType="1"/>
        </xdr:cNvSpPr>
      </xdr:nvSpPr>
      <xdr:spPr bwMode="auto">
        <a:xfrm>
          <a:off x="4524375" y="3086100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14</xdr:row>
      <xdr:rowOff>161925</xdr:rowOff>
    </xdr:from>
    <xdr:to>
      <xdr:col>8</xdr:col>
      <xdr:colOff>523875</xdr:colOff>
      <xdr:row>16</xdr:row>
      <xdr:rowOff>38100</xdr:rowOff>
    </xdr:to>
    <xdr:sp macro="" textlink="">
      <xdr:nvSpPr>
        <xdr:cNvPr id="85643" name="Line 651">
          <a:extLst>
            <a:ext uri="{FF2B5EF4-FFF2-40B4-BE49-F238E27FC236}">
              <a16:creationId xmlns:a16="http://schemas.microsoft.com/office/drawing/2014/main" id="{1FD9A495-C915-41E6-A3FD-DCAB88247EBE}"/>
            </a:ext>
          </a:extLst>
        </xdr:cNvPr>
        <xdr:cNvSpPr>
          <a:spLocks noChangeShapeType="1"/>
        </xdr:cNvSpPr>
      </xdr:nvSpPr>
      <xdr:spPr bwMode="auto">
        <a:xfrm>
          <a:off x="5400675" y="2828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16</xdr:row>
      <xdr:rowOff>38100</xdr:rowOff>
    </xdr:from>
    <xdr:to>
      <xdr:col>10</xdr:col>
      <xdr:colOff>190500</xdr:colOff>
      <xdr:row>16</xdr:row>
      <xdr:rowOff>38100</xdr:rowOff>
    </xdr:to>
    <xdr:sp macro="" textlink="">
      <xdr:nvSpPr>
        <xdr:cNvPr id="85641" name="Line 649">
          <a:extLst>
            <a:ext uri="{FF2B5EF4-FFF2-40B4-BE49-F238E27FC236}">
              <a16:creationId xmlns:a16="http://schemas.microsoft.com/office/drawing/2014/main" id="{D918B43D-8074-4552-8429-62A3BB0EF719}"/>
            </a:ext>
          </a:extLst>
        </xdr:cNvPr>
        <xdr:cNvSpPr>
          <a:spLocks noChangeShapeType="1"/>
        </xdr:cNvSpPr>
      </xdr:nvSpPr>
      <xdr:spPr bwMode="auto">
        <a:xfrm>
          <a:off x="5400675" y="3086100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14</xdr:row>
      <xdr:rowOff>161925</xdr:rowOff>
    </xdr:from>
    <xdr:to>
      <xdr:col>10</xdr:col>
      <xdr:colOff>190500</xdr:colOff>
      <xdr:row>16</xdr:row>
      <xdr:rowOff>38100</xdr:rowOff>
    </xdr:to>
    <xdr:sp macro="" textlink="">
      <xdr:nvSpPr>
        <xdr:cNvPr id="85640" name="Line 648">
          <a:extLst>
            <a:ext uri="{FF2B5EF4-FFF2-40B4-BE49-F238E27FC236}">
              <a16:creationId xmlns:a16="http://schemas.microsoft.com/office/drawing/2014/main" id="{B0BD7644-7584-4A57-9577-6C431AB84F04}"/>
            </a:ext>
          </a:extLst>
        </xdr:cNvPr>
        <xdr:cNvSpPr>
          <a:spLocks noChangeShapeType="1"/>
        </xdr:cNvSpPr>
      </xdr:nvSpPr>
      <xdr:spPr bwMode="auto">
        <a:xfrm>
          <a:off x="6286500" y="2828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16</xdr:row>
      <xdr:rowOff>38100</xdr:rowOff>
    </xdr:from>
    <xdr:to>
      <xdr:col>11</xdr:col>
      <xdr:colOff>476250</xdr:colOff>
      <xdr:row>16</xdr:row>
      <xdr:rowOff>38100</xdr:rowOff>
    </xdr:to>
    <xdr:sp macro="" textlink="">
      <xdr:nvSpPr>
        <xdr:cNvPr id="85638" name="Line 646">
          <a:extLst>
            <a:ext uri="{FF2B5EF4-FFF2-40B4-BE49-F238E27FC236}">
              <a16:creationId xmlns:a16="http://schemas.microsoft.com/office/drawing/2014/main" id="{F679F72C-F3A4-4D43-9AE2-A81A31AB7C1A}"/>
            </a:ext>
          </a:extLst>
        </xdr:cNvPr>
        <xdr:cNvSpPr>
          <a:spLocks noChangeShapeType="1"/>
        </xdr:cNvSpPr>
      </xdr:nvSpPr>
      <xdr:spPr bwMode="auto">
        <a:xfrm>
          <a:off x="6286500" y="3086100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14</xdr:row>
      <xdr:rowOff>161925</xdr:rowOff>
    </xdr:from>
    <xdr:to>
      <xdr:col>11</xdr:col>
      <xdr:colOff>466725</xdr:colOff>
      <xdr:row>16</xdr:row>
      <xdr:rowOff>38100</xdr:rowOff>
    </xdr:to>
    <xdr:sp macro="" textlink="">
      <xdr:nvSpPr>
        <xdr:cNvPr id="85637" name="Line 645">
          <a:extLst>
            <a:ext uri="{FF2B5EF4-FFF2-40B4-BE49-F238E27FC236}">
              <a16:creationId xmlns:a16="http://schemas.microsoft.com/office/drawing/2014/main" id="{BB0C2761-4590-4FDA-B61B-5A6CD5A97216}"/>
            </a:ext>
          </a:extLst>
        </xdr:cNvPr>
        <xdr:cNvSpPr>
          <a:spLocks noChangeShapeType="1"/>
        </xdr:cNvSpPr>
      </xdr:nvSpPr>
      <xdr:spPr bwMode="auto">
        <a:xfrm>
          <a:off x="7172325" y="2828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16</xdr:row>
      <xdr:rowOff>38100</xdr:rowOff>
    </xdr:from>
    <xdr:to>
      <xdr:col>11</xdr:col>
      <xdr:colOff>466725</xdr:colOff>
      <xdr:row>16</xdr:row>
      <xdr:rowOff>161925</xdr:rowOff>
    </xdr:to>
    <xdr:sp macro="" textlink="">
      <xdr:nvSpPr>
        <xdr:cNvPr id="85636" name="Rectangle 644">
          <a:extLst>
            <a:ext uri="{FF2B5EF4-FFF2-40B4-BE49-F238E27FC236}">
              <a16:creationId xmlns:a16="http://schemas.microsoft.com/office/drawing/2014/main" id="{3F2B186A-747E-4420-99A1-29A26C4E65B6}"/>
            </a:ext>
          </a:extLst>
        </xdr:cNvPr>
        <xdr:cNvSpPr>
          <a:spLocks noChangeArrowheads="1"/>
        </xdr:cNvSpPr>
      </xdr:nvSpPr>
      <xdr:spPr bwMode="auto">
        <a:xfrm>
          <a:off x="381000" y="3086100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16</xdr:row>
      <xdr:rowOff>38100</xdr:rowOff>
    </xdr:from>
    <xdr:to>
      <xdr:col>4</xdr:col>
      <xdr:colOff>381000</xdr:colOff>
      <xdr:row>16</xdr:row>
      <xdr:rowOff>161925</xdr:rowOff>
    </xdr:to>
    <xdr:sp macro="" textlink="">
      <xdr:nvSpPr>
        <xdr:cNvPr id="85635" name="Rectangle 643">
          <a:extLst>
            <a:ext uri="{FF2B5EF4-FFF2-40B4-BE49-F238E27FC236}">
              <a16:creationId xmlns:a16="http://schemas.microsoft.com/office/drawing/2014/main" id="{2882CDF9-C8F7-4BED-AF78-DDB6CCB42075}"/>
            </a:ext>
          </a:extLst>
        </xdr:cNvPr>
        <xdr:cNvSpPr>
          <a:spLocks noChangeArrowheads="1"/>
        </xdr:cNvSpPr>
      </xdr:nvSpPr>
      <xdr:spPr bwMode="auto">
        <a:xfrm>
          <a:off x="381000" y="3086100"/>
          <a:ext cx="2438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Staże</a:t>
          </a:r>
        </a:p>
      </xdr:txBody>
    </xdr:sp>
    <xdr:clientData/>
  </xdr:twoCellAnchor>
  <xdr:twoCellAnchor>
    <xdr:from>
      <xdr:col>0</xdr:col>
      <xdr:colOff>381000</xdr:colOff>
      <xdr:row>16</xdr:row>
      <xdr:rowOff>38100</xdr:rowOff>
    </xdr:from>
    <xdr:to>
      <xdr:col>0</xdr:col>
      <xdr:colOff>381000</xdr:colOff>
      <xdr:row>16</xdr:row>
      <xdr:rowOff>171450</xdr:rowOff>
    </xdr:to>
    <xdr:sp macro="" textlink="">
      <xdr:nvSpPr>
        <xdr:cNvPr id="85634" name="Line 642">
          <a:extLst>
            <a:ext uri="{FF2B5EF4-FFF2-40B4-BE49-F238E27FC236}">
              <a16:creationId xmlns:a16="http://schemas.microsoft.com/office/drawing/2014/main" id="{B9DD86EC-7D67-4AEA-AC15-C3D7AF5A4118}"/>
            </a:ext>
          </a:extLst>
        </xdr:cNvPr>
        <xdr:cNvSpPr>
          <a:spLocks noChangeShapeType="1"/>
        </xdr:cNvSpPr>
      </xdr:nvSpPr>
      <xdr:spPr bwMode="auto">
        <a:xfrm>
          <a:off x="381000" y="3086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16</xdr:row>
      <xdr:rowOff>161925</xdr:rowOff>
    </xdr:from>
    <xdr:to>
      <xdr:col>4</xdr:col>
      <xdr:colOff>381000</xdr:colOff>
      <xdr:row>16</xdr:row>
      <xdr:rowOff>161925</xdr:rowOff>
    </xdr:to>
    <xdr:sp macro="" textlink="">
      <xdr:nvSpPr>
        <xdr:cNvPr id="85633" name="Line 641">
          <a:extLst>
            <a:ext uri="{FF2B5EF4-FFF2-40B4-BE49-F238E27FC236}">
              <a16:creationId xmlns:a16="http://schemas.microsoft.com/office/drawing/2014/main" id="{6D710193-52F8-4025-ABF2-82754DE58954}"/>
            </a:ext>
          </a:extLst>
        </xdr:cNvPr>
        <xdr:cNvSpPr>
          <a:spLocks noChangeShapeType="1"/>
        </xdr:cNvSpPr>
      </xdr:nvSpPr>
      <xdr:spPr bwMode="auto">
        <a:xfrm>
          <a:off x="381000" y="320992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16</xdr:row>
      <xdr:rowOff>38100</xdr:rowOff>
    </xdr:from>
    <xdr:to>
      <xdr:col>4</xdr:col>
      <xdr:colOff>381000</xdr:colOff>
      <xdr:row>16</xdr:row>
      <xdr:rowOff>171450</xdr:rowOff>
    </xdr:to>
    <xdr:sp macro="" textlink="">
      <xdr:nvSpPr>
        <xdr:cNvPr id="85632" name="Line 640">
          <a:extLst>
            <a:ext uri="{FF2B5EF4-FFF2-40B4-BE49-F238E27FC236}">
              <a16:creationId xmlns:a16="http://schemas.microsoft.com/office/drawing/2014/main" id="{71FB69CC-C54F-4EBA-80C6-BB950B5A3A2D}"/>
            </a:ext>
          </a:extLst>
        </xdr:cNvPr>
        <xdr:cNvSpPr>
          <a:spLocks noChangeShapeType="1"/>
        </xdr:cNvSpPr>
      </xdr:nvSpPr>
      <xdr:spPr bwMode="auto">
        <a:xfrm>
          <a:off x="2819400" y="3086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16</xdr:row>
      <xdr:rowOff>38100</xdr:rowOff>
    </xdr:from>
    <xdr:to>
      <xdr:col>5</xdr:col>
      <xdr:colOff>180975</xdr:colOff>
      <xdr:row>16</xdr:row>
      <xdr:rowOff>161925</xdr:rowOff>
    </xdr:to>
    <xdr:sp macro="" textlink="">
      <xdr:nvSpPr>
        <xdr:cNvPr id="85631" name="Rectangle 639">
          <a:extLst>
            <a:ext uri="{FF2B5EF4-FFF2-40B4-BE49-F238E27FC236}">
              <a16:creationId xmlns:a16="http://schemas.microsoft.com/office/drawing/2014/main" id="{1DA7A1FB-420A-4076-A8E8-62F7EE5C6308}"/>
            </a:ext>
          </a:extLst>
        </xdr:cNvPr>
        <xdr:cNvSpPr>
          <a:spLocks noChangeArrowheads="1"/>
        </xdr:cNvSpPr>
      </xdr:nvSpPr>
      <xdr:spPr bwMode="auto">
        <a:xfrm>
          <a:off x="2819400" y="3086100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02</a:t>
          </a:r>
        </a:p>
      </xdr:txBody>
    </xdr:sp>
    <xdr:clientData/>
  </xdr:twoCellAnchor>
  <xdr:twoCellAnchor>
    <xdr:from>
      <xdr:col>4</xdr:col>
      <xdr:colOff>381000</xdr:colOff>
      <xdr:row>16</xdr:row>
      <xdr:rowOff>161925</xdr:rowOff>
    </xdr:from>
    <xdr:to>
      <xdr:col>5</xdr:col>
      <xdr:colOff>180975</xdr:colOff>
      <xdr:row>16</xdr:row>
      <xdr:rowOff>161925</xdr:rowOff>
    </xdr:to>
    <xdr:sp macro="" textlink="">
      <xdr:nvSpPr>
        <xdr:cNvPr id="85630" name="Line 638">
          <a:extLst>
            <a:ext uri="{FF2B5EF4-FFF2-40B4-BE49-F238E27FC236}">
              <a16:creationId xmlns:a16="http://schemas.microsoft.com/office/drawing/2014/main" id="{FA0E7BF2-D24F-4F89-B4B0-4162B2651003}"/>
            </a:ext>
          </a:extLst>
        </xdr:cNvPr>
        <xdr:cNvSpPr>
          <a:spLocks noChangeShapeType="1"/>
        </xdr:cNvSpPr>
      </xdr:nvSpPr>
      <xdr:spPr bwMode="auto">
        <a:xfrm>
          <a:off x="2819400" y="320992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16</xdr:row>
      <xdr:rowOff>38100</xdr:rowOff>
    </xdr:from>
    <xdr:to>
      <xdr:col>5</xdr:col>
      <xdr:colOff>180975</xdr:colOff>
      <xdr:row>16</xdr:row>
      <xdr:rowOff>171450</xdr:rowOff>
    </xdr:to>
    <xdr:sp macro="" textlink="">
      <xdr:nvSpPr>
        <xdr:cNvPr id="85629" name="Line 637">
          <a:extLst>
            <a:ext uri="{FF2B5EF4-FFF2-40B4-BE49-F238E27FC236}">
              <a16:creationId xmlns:a16="http://schemas.microsoft.com/office/drawing/2014/main" id="{86D3B0FC-7ADF-4784-A308-940DCD88051D}"/>
            </a:ext>
          </a:extLst>
        </xdr:cNvPr>
        <xdr:cNvSpPr>
          <a:spLocks noChangeShapeType="1"/>
        </xdr:cNvSpPr>
      </xdr:nvSpPr>
      <xdr:spPr bwMode="auto">
        <a:xfrm>
          <a:off x="3228975" y="3086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16</xdr:row>
      <xdr:rowOff>161925</xdr:rowOff>
    </xdr:from>
    <xdr:to>
      <xdr:col>7</xdr:col>
      <xdr:colOff>257175</xdr:colOff>
      <xdr:row>16</xdr:row>
      <xdr:rowOff>161925</xdr:rowOff>
    </xdr:to>
    <xdr:sp macro="" textlink="">
      <xdr:nvSpPr>
        <xdr:cNvPr id="85627" name="Line 635">
          <a:extLst>
            <a:ext uri="{FF2B5EF4-FFF2-40B4-BE49-F238E27FC236}">
              <a16:creationId xmlns:a16="http://schemas.microsoft.com/office/drawing/2014/main" id="{E571A4AE-E26A-4B95-BB16-8945EFF855D4}"/>
            </a:ext>
          </a:extLst>
        </xdr:cNvPr>
        <xdr:cNvSpPr>
          <a:spLocks noChangeShapeType="1"/>
        </xdr:cNvSpPr>
      </xdr:nvSpPr>
      <xdr:spPr bwMode="auto">
        <a:xfrm>
          <a:off x="3228975" y="320992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16</xdr:row>
      <xdr:rowOff>38100</xdr:rowOff>
    </xdr:from>
    <xdr:to>
      <xdr:col>7</xdr:col>
      <xdr:colOff>257175</xdr:colOff>
      <xdr:row>16</xdr:row>
      <xdr:rowOff>171450</xdr:rowOff>
    </xdr:to>
    <xdr:sp macro="" textlink="">
      <xdr:nvSpPr>
        <xdr:cNvPr id="85626" name="Line 634">
          <a:extLst>
            <a:ext uri="{FF2B5EF4-FFF2-40B4-BE49-F238E27FC236}">
              <a16:creationId xmlns:a16="http://schemas.microsoft.com/office/drawing/2014/main" id="{CBD897EC-9D5F-49F9-9A6D-A3169794EAD4}"/>
            </a:ext>
          </a:extLst>
        </xdr:cNvPr>
        <xdr:cNvSpPr>
          <a:spLocks noChangeShapeType="1"/>
        </xdr:cNvSpPr>
      </xdr:nvSpPr>
      <xdr:spPr bwMode="auto">
        <a:xfrm>
          <a:off x="4524375" y="3086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16</xdr:row>
      <xdr:rowOff>161925</xdr:rowOff>
    </xdr:from>
    <xdr:to>
      <xdr:col>8</xdr:col>
      <xdr:colOff>523875</xdr:colOff>
      <xdr:row>16</xdr:row>
      <xdr:rowOff>161925</xdr:rowOff>
    </xdr:to>
    <xdr:sp macro="" textlink="">
      <xdr:nvSpPr>
        <xdr:cNvPr id="85624" name="Line 632">
          <a:extLst>
            <a:ext uri="{FF2B5EF4-FFF2-40B4-BE49-F238E27FC236}">
              <a16:creationId xmlns:a16="http://schemas.microsoft.com/office/drawing/2014/main" id="{D5F4D1F4-4B94-4A3B-BA3B-FEB46588DA15}"/>
            </a:ext>
          </a:extLst>
        </xdr:cNvPr>
        <xdr:cNvSpPr>
          <a:spLocks noChangeShapeType="1"/>
        </xdr:cNvSpPr>
      </xdr:nvSpPr>
      <xdr:spPr bwMode="auto">
        <a:xfrm>
          <a:off x="4524375" y="320992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16</xdr:row>
      <xdr:rowOff>38100</xdr:rowOff>
    </xdr:from>
    <xdr:to>
      <xdr:col>8</xdr:col>
      <xdr:colOff>523875</xdr:colOff>
      <xdr:row>16</xdr:row>
      <xdr:rowOff>171450</xdr:rowOff>
    </xdr:to>
    <xdr:sp macro="" textlink="">
      <xdr:nvSpPr>
        <xdr:cNvPr id="85623" name="Line 631">
          <a:extLst>
            <a:ext uri="{FF2B5EF4-FFF2-40B4-BE49-F238E27FC236}">
              <a16:creationId xmlns:a16="http://schemas.microsoft.com/office/drawing/2014/main" id="{B85A1434-1C5C-400C-A1F4-D6EE55B88ABE}"/>
            </a:ext>
          </a:extLst>
        </xdr:cNvPr>
        <xdr:cNvSpPr>
          <a:spLocks noChangeShapeType="1"/>
        </xdr:cNvSpPr>
      </xdr:nvSpPr>
      <xdr:spPr bwMode="auto">
        <a:xfrm>
          <a:off x="5400675" y="3086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16</xdr:row>
      <xdr:rowOff>161925</xdr:rowOff>
    </xdr:from>
    <xdr:to>
      <xdr:col>10</xdr:col>
      <xdr:colOff>190500</xdr:colOff>
      <xdr:row>16</xdr:row>
      <xdr:rowOff>161925</xdr:rowOff>
    </xdr:to>
    <xdr:sp macro="" textlink="">
      <xdr:nvSpPr>
        <xdr:cNvPr id="85621" name="Line 629">
          <a:extLst>
            <a:ext uri="{FF2B5EF4-FFF2-40B4-BE49-F238E27FC236}">
              <a16:creationId xmlns:a16="http://schemas.microsoft.com/office/drawing/2014/main" id="{214113D6-8D11-4FDF-B187-D2894250479F}"/>
            </a:ext>
          </a:extLst>
        </xdr:cNvPr>
        <xdr:cNvSpPr>
          <a:spLocks noChangeShapeType="1"/>
        </xdr:cNvSpPr>
      </xdr:nvSpPr>
      <xdr:spPr bwMode="auto">
        <a:xfrm>
          <a:off x="5400675" y="320992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16</xdr:row>
      <xdr:rowOff>38100</xdr:rowOff>
    </xdr:from>
    <xdr:to>
      <xdr:col>10</xdr:col>
      <xdr:colOff>190500</xdr:colOff>
      <xdr:row>16</xdr:row>
      <xdr:rowOff>171450</xdr:rowOff>
    </xdr:to>
    <xdr:sp macro="" textlink="">
      <xdr:nvSpPr>
        <xdr:cNvPr id="85620" name="Line 628">
          <a:extLst>
            <a:ext uri="{FF2B5EF4-FFF2-40B4-BE49-F238E27FC236}">
              <a16:creationId xmlns:a16="http://schemas.microsoft.com/office/drawing/2014/main" id="{E28BD935-8662-4105-81F1-EE40EC6315CF}"/>
            </a:ext>
          </a:extLst>
        </xdr:cNvPr>
        <xdr:cNvSpPr>
          <a:spLocks noChangeShapeType="1"/>
        </xdr:cNvSpPr>
      </xdr:nvSpPr>
      <xdr:spPr bwMode="auto">
        <a:xfrm>
          <a:off x="6286500" y="3086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16</xdr:row>
      <xdr:rowOff>161925</xdr:rowOff>
    </xdr:from>
    <xdr:to>
      <xdr:col>11</xdr:col>
      <xdr:colOff>476250</xdr:colOff>
      <xdr:row>16</xdr:row>
      <xdr:rowOff>161925</xdr:rowOff>
    </xdr:to>
    <xdr:sp macro="" textlink="">
      <xdr:nvSpPr>
        <xdr:cNvPr id="85618" name="Line 626">
          <a:extLst>
            <a:ext uri="{FF2B5EF4-FFF2-40B4-BE49-F238E27FC236}">
              <a16:creationId xmlns:a16="http://schemas.microsoft.com/office/drawing/2014/main" id="{5063B90E-FFCB-403A-9FC8-F3B38757BF2C}"/>
            </a:ext>
          </a:extLst>
        </xdr:cNvPr>
        <xdr:cNvSpPr>
          <a:spLocks noChangeShapeType="1"/>
        </xdr:cNvSpPr>
      </xdr:nvSpPr>
      <xdr:spPr bwMode="auto">
        <a:xfrm>
          <a:off x="6286500" y="320992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16</xdr:row>
      <xdr:rowOff>38100</xdr:rowOff>
    </xdr:from>
    <xdr:to>
      <xdr:col>11</xdr:col>
      <xdr:colOff>466725</xdr:colOff>
      <xdr:row>16</xdr:row>
      <xdr:rowOff>171450</xdr:rowOff>
    </xdr:to>
    <xdr:sp macro="" textlink="">
      <xdr:nvSpPr>
        <xdr:cNvPr id="85617" name="Line 625">
          <a:extLst>
            <a:ext uri="{FF2B5EF4-FFF2-40B4-BE49-F238E27FC236}">
              <a16:creationId xmlns:a16="http://schemas.microsoft.com/office/drawing/2014/main" id="{F1FD390F-14F0-4318-8D7F-7A5D1BADF687}"/>
            </a:ext>
          </a:extLst>
        </xdr:cNvPr>
        <xdr:cNvSpPr>
          <a:spLocks noChangeShapeType="1"/>
        </xdr:cNvSpPr>
      </xdr:nvSpPr>
      <xdr:spPr bwMode="auto">
        <a:xfrm>
          <a:off x="7172325" y="3086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16</xdr:row>
      <xdr:rowOff>161925</xdr:rowOff>
    </xdr:from>
    <xdr:to>
      <xdr:col>11</xdr:col>
      <xdr:colOff>466725</xdr:colOff>
      <xdr:row>17</xdr:row>
      <xdr:rowOff>95250</xdr:rowOff>
    </xdr:to>
    <xdr:sp macro="" textlink="">
      <xdr:nvSpPr>
        <xdr:cNvPr id="85616" name="Rectangle 624">
          <a:extLst>
            <a:ext uri="{FF2B5EF4-FFF2-40B4-BE49-F238E27FC236}">
              <a16:creationId xmlns:a16="http://schemas.microsoft.com/office/drawing/2014/main" id="{3F834278-9AB4-46FF-AEC0-71126D3C29CB}"/>
            </a:ext>
          </a:extLst>
        </xdr:cNvPr>
        <xdr:cNvSpPr>
          <a:spLocks noChangeArrowheads="1"/>
        </xdr:cNvSpPr>
      </xdr:nvSpPr>
      <xdr:spPr bwMode="auto">
        <a:xfrm>
          <a:off x="381000" y="3209925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16</xdr:row>
      <xdr:rowOff>161925</xdr:rowOff>
    </xdr:from>
    <xdr:to>
      <xdr:col>4</xdr:col>
      <xdr:colOff>381000</xdr:colOff>
      <xdr:row>17</xdr:row>
      <xdr:rowOff>95250</xdr:rowOff>
    </xdr:to>
    <xdr:sp macro="" textlink="">
      <xdr:nvSpPr>
        <xdr:cNvPr id="85615" name="Rectangle 623">
          <a:extLst>
            <a:ext uri="{FF2B5EF4-FFF2-40B4-BE49-F238E27FC236}">
              <a16:creationId xmlns:a16="http://schemas.microsoft.com/office/drawing/2014/main" id="{D5FE492B-AF32-4F4A-8889-317DEE9F91A3}"/>
            </a:ext>
          </a:extLst>
        </xdr:cNvPr>
        <xdr:cNvSpPr>
          <a:spLocks noChangeArrowheads="1"/>
        </xdr:cNvSpPr>
      </xdr:nvSpPr>
      <xdr:spPr bwMode="auto">
        <a:xfrm>
          <a:off x="381000" y="3209925"/>
          <a:ext cx="2438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Szkolenia</a:t>
          </a:r>
        </a:p>
      </xdr:txBody>
    </xdr:sp>
    <xdr:clientData/>
  </xdr:twoCellAnchor>
  <xdr:twoCellAnchor>
    <xdr:from>
      <xdr:col>0</xdr:col>
      <xdr:colOff>381000</xdr:colOff>
      <xdr:row>16</xdr:row>
      <xdr:rowOff>161925</xdr:rowOff>
    </xdr:from>
    <xdr:to>
      <xdr:col>0</xdr:col>
      <xdr:colOff>381000</xdr:colOff>
      <xdr:row>17</xdr:row>
      <xdr:rowOff>104775</xdr:rowOff>
    </xdr:to>
    <xdr:sp macro="" textlink="">
      <xdr:nvSpPr>
        <xdr:cNvPr id="85614" name="Line 622">
          <a:extLst>
            <a:ext uri="{FF2B5EF4-FFF2-40B4-BE49-F238E27FC236}">
              <a16:creationId xmlns:a16="http://schemas.microsoft.com/office/drawing/2014/main" id="{D64F0108-BE3E-43EE-92BD-DC3D4E9EDAA4}"/>
            </a:ext>
          </a:extLst>
        </xdr:cNvPr>
        <xdr:cNvSpPr>
          <a:spLocks noChangeShapeType="1"/>
        </xdr:cNvSpPr>
      </xdr:nvSpPr>
      <xdr:spPr bwMode="auto">
        <a:xfrm>
          <a:off x="381000" y="3209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17</xdr:row>
      <xdr:rowOff>104775</xdr:rowOff>
    </xdr:from>
    <xdr:to>
      <xdr:col>4</xdr:col>
      <xdr:colOff>381000</xdr:colOff>
      <xdr:row>17</xdr:row>
      <xdr:rowOff>104775</xdr:rowOff>
    </xdr:to>
    <xdr:sp macro="" textlink="">
      <xdr:nvSpPr>
        <xdr:cNvPr id="85613" name="Line 621">
          <a:extLst>
            <a:ext uri="{FF2B5EF4-FFF2-40B4-BE49-F238E27FC236}">
              <a16:creationId xmlns:a16="http://schemas.microsoft.com/office/drawing/2014/main" id="{FE674B46-BFE4-4EF7-845A-A3B368449268}"/>
            </a:ext>
          </a:extLst>
        </xdr:cNvPr>
        <xdr:cNvSpPr>
          <a:spLocks noChangeShapeType="1"/>
        </xdr:cNvSpPr>
      </xdr:nvSpPr>
      <xdr:spPr bwMode="auto">
        <a:xfrm>
          <a:off x="381000" y="334327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16</xdr:row>
      <xdr:rowOff>161925</xdr:rowOff>
    </xdr:from>
    <xdr:to>
      <xdr:col>4</xdr:col>
      <xdr:colOff>381000</xdr:colOff>
      <xdr:row>17</xdr:row>
      <xdr:rowOff>104775</xdr:rowOff>
    </xdr:to>
    <xdr:sp macro="" textlink="">
      <xdr:nvSpPr>
        <xdr:cNvPr id="85612" name="Line 620">
          <a:extLst>
            <a:ext uri="{FF2B5EF4-FFF2-40B4-BE49-F238E27FC236}">
              <a16:creationId xmlns:a16="http://schemas.microsoft.com/office/drawing/2014/main" id="{8444D8D7-3423-4A11-8A03-A75F9AFF6942}"/>
            </a:ext>
          </a:extLst>
        </xdr:cNvPr>
        <xdr:cNvSpPr>
          <a:spLocks noChangeShapeType="1"/>
        </xdr:cNvSpPr>
      </xdr:nvSpPr>
      <xdr:spPr bwMode="auto">
        <a:xfrm>
          <a:off x="2819400" y="3209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16</xdr:row>
      <xdr:rowOff>161925</xdr:rowOff>
    </xdr:from>
    <xdr:to>
      <xdr:col>5</xdr:col>
      <xdr:colOff>180975</xdr:colOff>
      <xdr:row>17</xdr:row>
      <xdr:rowOff>95250</xdr:rowOff>
    </xdr:to>
    <xdr:sp macro="" textlink="">
      <xdr:nvSpPr>
        <xdr:cNvPr id="85611" name="Rectangle 619">
          <a:extLst>
            <a:ext uri="{FF2B5EF4-FFF2-40B4-BE49-F238E27FC236}">
              <a16:creationId xmlns:a16="http://schemas.microsoft.com/office/drawing/2014/main" id="{474E3BF2-B7E8-435E-96F9-4E4D6E26AAA0}"/>
            </a:ext>
          </a:extLst>
        </xdr:cNvPr>
        <xdr:cNvSpPr>
          <a:spLocks noChangeArrowheads="1"/>
        </xdr:cNvSpPr>
      </xdr:nvSpPr>
      <xdr:spPr bwMode="auto">
        <a:xfrm>
          <a:off x="2819400" y="3209925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03</a:t>
          </a:r>
        </a:p>
      </xdr:txBody>
    </xdr:sp>
    <xdr:clientData/>
  </xdr:twoCellAnchor>
  <xdr:twoCellAnchor>
    <xdr:from>
      <xdr:col>4</xdr:col>
      <xdr:colOff>381000</xdr:colOff>
      <xdr:row>17</xdr:row>
      <xdr:rowOff>104775</xdr:rowOff>
    </xdr:from>
    <xdr:to>
      <xdr:col>5</xdr:col>
      <xdr:colOff>180975</xdr:colOff>
      <xdr:row>17</xdr:row>
      <xdr:rowOff>104775</xdr:rowOff>
    </xdr:to>
    <xdr:sp macro="" textlink="">
      <xdr:nvSpPr>
        <xdr:cNvPr id="85610" name="Line 618">
          <a:extLst>
            <a:ext uri="{FF2B5EF4-FFF2-40B4-BE49-F238E27FC236}">
              <a16:creationId xmlns:a16="http://schemas.microsoft.com/office/drawing/2014/main" id="{3DE8BEF1-DB8F-4776-9ED3-A3534528DBBA}"/>
            </a:ext>
          </a:extLst>
        </xdr:cNvPr>
        <xdr:cNvSpPr>
          <a:spLocks noChangeShapeType="1"/>
        </xdr:cNvSpPr>
      </xdr:nvSpPr>
      <xdr:spPr bwMode="auto">
        <a:xfrm>
          <a:off x="2819400" y="334327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16</xdr:row>
      <xdr:rowOff>161925</xdr:rowOff>
    </xdr:from>
    <xdr:to>
      <xdr:col>5</xdr:col>
      <xdr:colOff>180975</xdr:colOff>
      <xdr:row>17</xdr:row>
      <xdr:rowOff>104775</xdr:rowOff>
    </xdr:to>
    <xdr:sp macro="" textlink="">
      <xdr:nvSpPr>
        <xdr:cNvPr id="85609" name="Line 617">
          <a:extLst>
            <a:ext uri="{FF2B5EF4-FFF2-40B4-BE49-F238E27FC236}">
              <a16:creationId xmlns:a16="http://schemas.microsoft.com/office/drawing/2014/main" id="{4CF8CD53-2DA9-4783-9614-933328596DCA}"/>
            </a:ext>
          </a:extLst>
        </xdr:cNvPr>
        <xdr:cNvSpPr>
          <a:spLocks noChangeShapeType="1"/>
        </xdr:cNvSpPr>
      </xdr:nvSpPr>
      <xdr:spPr bwMode="auto">
        <a:xfrm>
          <a:off x="3228975" y="3209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17</xdr:row>
      <xdr:rowOff>104775</xdr:rowOff>
    </xdr:from>
    <xdr:to>
      <xdr:col>7</xdr:col>
      <xdr:colOff>257175</xdr:colOff>
      <xdr:row>17</xdr:row>
      <xdr:rowOff>104775</xdr:rowOff>
    </xdr:to>
    <xdr:sp macro="" textlink="">
      <xdr:nvSpPr>
        <xdr:cNvPr id="85607" name="Line 615">
          <a:extLst>
            <a:ext uri="{FF2B5EF4-FFF2-40B4-BE49-F238E27FC236}">
              <a16:creationId xmlns:a16="http://schemas.microsoft.com/office/drawing/2014/main" id="{ABDFF1CA-3885-4DA1-A118-2EA191830C73}"/>
            </a:ext>
          </a:extLst>
        </xdr:cNvPr>
        <xdr:cNvSpPr>
          <a:spLocks noChangeShapeType="1"/>
        </xdr:cNvSpPr>
      </xdr:nvSpPr>
      <xdr:spPr bwMode="auto">
        <a:xfrm>
          <a:off x="3228975" y="334327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16</xdr:row>
      <xdr:rowOff>161925</xdr:rowOff>
    </xdr:from>
    <xdr:to>
      <xdr:col>7</xdr:col>
      <xdr:colOff>257175</xdr:colOff>
      <xdr:row>17</xdr:row>
      <xdr:rowOff>104775</xdr:rowOff>
    </xdr:to>
    <xdr:sp macro="" textlink="">
      <xdr:nvSpPr>
        <xdr:cNvPr id="85606" name="Line 614">
          <a:extLst>
            <a:ext uri="{FF2B5EF4-FFF2-40B4-BE49-F238E27FC236}">
              <a16:creationId xmlns:a16="http://schemas.microsoft.com/office/drawing/2014/main" id="{5973AC50-F0B4-4F23-8545-42F575F6A0BC}"/>
            </a:ext>
          </a:extLst>
        </xdr:cNvPr>
        <xdr:cNvSpPr>
          <a:spLocks noChangeShapeType="1"/>
        </xdr:cNvSpPr>
      </xdr:nvSpPr>
      <xdr:spPr bwMode="auto">
        <a:xfrm>
          <a:off x="4524375" y="3209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17</xdr:row>
      <xdr:rowOff>104775</xdr:rowOff>
    </xdr:from>
    <xdr:to>
      <xdr:col>8</xdr:col>
      <xdr:colOff>523875</xdr:colOff>
      <xdr:row>17</xdr:row>
      <xdr:rowOff>104775</xdr:rowOff>
    </xdr:to>
    <xdr:sp macro="" textlink="">
      <xdr:nvSpPr>
        <xdr:cNvPr id="85604" name="Line 612">
          <a:extLst>
            <a:ext uri="{FF2B5EF4-FFF2-40B4-BE49-F238E27FC236}">
              <a16:creationId xmlns:a16="http://schemas.microsoft.com/office/drawing/2014/main" id="{4A240260-5D2A-4402-9AE8-5CE591617DD4}"/>
            </a:ext>
          </a:extLst>
        </xdr:cNvPr>
        <xdr:cNvSpPr>
          <a:spLocks noChangeShapeType="1"/>
        </xdr:cNvSpPr>
      </xdr:nvSpPr>
      <xdr:spPr bwMode="auto">
        <a:xfrm>
          <a:off x="4524375" y="334327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16</xdr:row>
      <xdr:rowOff>161925</xdr:rowOff>
    </xdr:from>
    <xdr:to>
      <xdr:col>8</xdr:col>
      <xdr:colOff>523875</xdr:colOff>
      <xdr:row>17</xdr:row>
      <xdr:rowOff>104775</xdr:rowOff>
    </xdr:to>
    <xdr:sp macro="" textlink="">
      <xdr:nvSpPr>
        <xdr:cNvPr id="85603" name="Line 611">
          <a:extLst>
            <a:ext uri="{FF2B5EF4-FFF2-40B4-BE49-F238E27FC236}">
              <a16:creationId xmlns:a16="http://schemas.microsoft.com/office/drawing/2014/main" id="{5161D7F4-F5E5-4199-9137-68DAA69DE7DD}"/>
            </a:ext>
          </a:extLst>
        </xdr:cNvPr>
        <xdr:cNvSpPr>
          <a:spLocks noChangeShapeType="1"/>
        </xdr:cNvSpPr>
      </xdr:nvSpPr>
      <xdr:spPr bwMode="auto">
        <a:xfrm>
          <a:off x="5400675" y="3209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17</xdr:row>
      <xdr:rowOff>104775</xdr:rowOff>
    </xdr:from>
    <xdr:to>
      <xdr:col>10</xdr:col>
      <xdr:colOff>190500</xdr:colOff>
      <xdr:row>17</xdr:row>
      <xdr:rowOff>104775</xdr:rowOff>
    </xdr:to>
    <xdr:sp macro="" textlink="">
      <xdr:nvSpPr>
        <xdr:cNvPr id="85601" name="Line 609">
          <a:extLst>
            <a:ext uri="{FF2B5EF4-FFF2-40B4-BE49-F238E27FC236}">
              <a16:creationId xmlns:a16="http://schemas.microsoft.com/office/drawing/2014/main" id="{A2789C5C-FC33-4CFE-91CA-D2B8ED7EBB16}"/>
            </a:ext>
          </a:extLst>
        </xdr:cNvPr>
        <xdr:cNvSpPr>
          <a:spLocks noChangeShapeType="1"/>
        </xdr:cNvSpPr>
      </xdr:nvSpPr>
      <xdr:spPr bwMode="auto">
        <a:xfrm>
          <a:off x="5400675" y="334327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16</xdr:row>
      <xdr:rowOff>161925</xdr:rowOff>
    </xdr:from>
    <xdr:to>
      <xdr:col>10</xdr:col>
      <xdr:colOff>190500</xdr:colOff>
      <xdr:row>17</xdr:row>
      <xdr:rowOff>104775</xdr:rowOff>
    </xdr:to>
    <xdr:sp macro="" textlink="">
      <xdr:nvSpPr>
        <xdr:cNvPr id="85600" name="Line 608">
          <a:extLst>
            <a:ext uri="{FF2B5EF4-FFF2-40B4-BE49-F238E27FC236}">
              <a16:creationId xmlns:a16="http://schemas.microsoft.com/office/drawing/2014/main" id="{8A75A0EC-10C3-40AE-A415-32B77DFFBEC7}"/>
            </a:ext>
          </a:extLst>
        </xdr:cNvPr>
        <xdr:cNvSpPr>
          <a:spLocks noChangeShapeType="1"/>
        </xdr:cNvSpPr>
      </xdr:nvSpPr>
      <xdr:spPr bwMode="auto">
        <a:xfrm>
          <a:off x="6286500" y="3209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17</xdr:row>
      <xdr:rowOff>104775</xdr:rowOff>
    </xdr:from>
    <xdr:to>
      <xdr:col>11</xdr:col>
      <xdr:colOff>476250</xdr:colOff>
      <xdr:row>17</xdr:row>
      <xdr:rowOff>104775</xdr:rowOff>
    </xdr:to>
    <xdr:sp macro="" textlink="">
      <xdr:nvSpPr>
        <xdr:cNvPr id="85598" name="Line 606">
          <a:extLst>
            <a:ext uri="{FF2B5EF4-FFF2-40B4-BE49-F238E27FC236}">
              <a16:creationId xmlns:a16="http://schemas.microsoft.com/office/drawing/2014/main" id="{CD0E1044-3EE9-45CA-BD49-9C58D114DFEA}"/>
            </a:ext>
          </a:extLst>
        </xdr:cNvPr>
        <xdr:cNvSpPr>
          <a:spLocks noChangeShapeType="1"/>
        </xdr:cNvSpPr>
      </xdr:nvSpPr>
      <xdr:spPr bwMode="auto">
        <a:xfrm>
          <a:off x="6286500" y="334327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16</xdr:row>
      <xdr:rowOff>161925</xdr:rowOff>
    </xdr:from>
    <xdr:to>
      <xdr:col>11</xdr:col>
      <xdr:colOff>466725</xdr:colOff>
      <xdr:row>17</xdr:row>
      <xdr:rowOff>104775</xdr:rowOff>
    </xdr:to>
    <xdr:sp macro="" textlink="">
      <xdr:nvSpPr>
        <xdr:cNvPr id="85597" name="Line 605">
          <a:extLst>
            <a:ext uri="{FF2B5EF4-FFF2-40B4-BE49-F238E27FC236}">
              <a16:creationId xmlns:a16="http://schemas.microsoft.com/office/drawing/2014/main" id="{3C9DCECF-A051-4B69-BB0F-FC318D5A1A32}"/>
            </a:ext>
          </a:extLst>
        </xdr:cNvPr>
        <xdr:cNvSpPr>
          <a:spLocks noChangeShapeType="1"/>
        </xdr:cNvSpPr>
      </xdr:nvSpPr>
      <xdr:spPr bwMode="auto">
        <a:xfrm>
          <a:off x="7172325" y="3209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17</xdr:row>
      <xdr:rowOff>104775</xdr:rowOff>
    </xdr:from>
    <xdr:to>
      <xdr:col>11</xdr:col>
      <xdr:colOff>466725</xdr:colOff>
      <xdr:row>18</xdr:row>
      <xdr:rowOff>38100</xdr:rowOff>
    </xdr:to>
    <xdr:sp macro="" textlink="">
      <xdr:nvSpPr>
        <xdr:cNvPr id="85596" name="Rectangle 604">
          <a:extLst>
            <a:ext uri="{FF2B5EF4-FFF2-40B4-BE49-F238E27FC236}">
              <a16:creationId xmlns:a16="http://schemas.microsoft.com/office/drawing/2014/main" id="{B9FF800B-D366-4897-A5AA-91D48C0112DC}"/>
            </a:ext>
          </a:extLst>
        </xdr:cNvPr>
        <xdr:cNvSpPr>
          <a:spLocks noChangeArrowheads="1"/>
        </xdr:cNvSpPr>
      </xdr:nvSpPr>
      <xdr:spPr bwMode="auto">
        <a:xfrm>
          <a:off x="381000" y="3343275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17</xdr:row>
      <xdr:rowOff>104775</xdr:rowOff>
    </xdr:from>
    <xdr:to>
      <xdr:col>4</xdr:col>
      <xdr:colOff>381000</xdr:colOff>
      <xdr:row>18</xdr:row>
      <xdr:rowOff>38100</xdr:rowOff>
    </xdr:to>
    <xdr:sp macro="" textlink="">
      <xdr:nvSpPr>
        <xdr:cNvPr id="85595" name="Rectangle 603">
          <a:extLst>
            <a:ext uri="{FF2B5EF4-FFF2-40B4-BE49-F238E27FC236}">
              <a16:creationId xmlns:a16="http://schemas.microsoft.com/office/drawing/2014/main" id="{3607120B-E9CC-4F52-B754-0C88FC1576AF}"/>
            </a:ext>
          </a:extLst>
        </xdr:cNvPr>
        <xdr:cNvSpPr>
          <a:spLocks noChangeArrowheads="1"/>
        </xdr:cNvSpPr>
      </xdr:nvSpPr>
      <xdr:spPr bwMode="auto">
        <a:xfrm>
          <a:off x="381000" y="3343275"/>
          <a:ext cx="2438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Prace interwencyjne</a:t>
          </a:r>
        </a:p>
      </xdr:txBody>
    </xdr:sp>
    <xdr:clientData/>
  </xdr:twoCellAnchor>
  <xdr:twoCellAnchor>
    <xdr:from>
      <xdr:col>0</xdr:col>
      <xdr:colOff>381000</xdr:colOff>
      <xdr:row>17</xdr:row>
      <xdr:rowOff>104775</xdr:rowOff>
    </xdr:from>
    <xdr:to>
      <xdr:col>0</xdr:col>
      <xdr:colOff>381000</xdr:colOff>
      <xdr:row>18</xdr:row>
      <xdr:rowOff>38100</xdr:rowOff>
    </xdr:to>
    <xdr:sp macro="" textlink="">
      <xdr:nvSpPr>
        <xdr:cNvPr id="85594" name="Line 602">
          <a:extLst>
            <a:ext uri="{FF2B5EF4-FFF2-40B4-BE49-F238E27FC236}">
              <a16:creationId xmlns:a16="http://schemas.microsoft.com/office/drawing/2014/main" id="{652BF12D-D916-4BEA-B14E-C67B49AD2F43}"/>
            </a:ext>
          </a:extLst>
        </xdr:cNvPr>
        <xdr:cNvSpPr>
          <a:spLocks noChangeShapeType="1"/>
        </xdr:cNvSpPr>
      </xdr:nvSpPr>
      <xdr:spPr bwMode="auto">
        <a:xfrm>
          <a:off x="381000" y="3343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18</xdr:row>
      <xdr:rowOff>38100</xdr:rowOff>
    </xdr:from>
    <xdr:to>
      <xdr:col>4</xdr:col>
      <xdr:colOff>381000</xdr:colOff>
      <xdr:row>18</xdr:row>
      <xdr:rowOff>38100</xdr:rowOff>
    </xdr:to>
    <xdr:sp macro="" textlink="">
      <xdr:nvSpPr>
        <xdr:cNvPr id="85593" name="Line 601">
          <a:extLst>
            <a:ext uri="{FF2B5EF4-FFF2-40B4-BE49-F238E27FC236}">
              <a16:creationId xmlns:a16="http://schemas.microsoft.com/office/drawing/2014/main" id="{290F2CD6-ACEF-4759-BFC0-89B7E8D1E02C}"/>
            </a:ext>
          </a:extLst>
        </xdr:cNvPr>
        <xdr:cNvSpPr>
          <a:spLocks noChangeShapeType="1"/>
        </xdr:cNvSpPr>
      </xdr:nvSpPr>
      <xdr:spPr bwMode="auto">
        <a:xfrm>
          <a:off x="381000" y="3467100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17</xdr:row>
      <xdr:rowOff>104775</xdr:rowOff>
    </xdr:from>
    <xdr:to>
      <xdr:col>4</xdr:col>
      <xdr:colOff>381000</xdr:colOff>
      <xdr:row>18</xdr:row>
      <xdr:rowOff>38100</xdr:rowOff>
    </xdr:to>
    <xdr:sp macro="" textlink="">
      <xdr:nvSpPr>
        <xdr:cNvPr id="85592" name="Line 600">
          <a:extLst>
            <a:ext uri="{FF2B5EF4-FFF2-40B4-BE49-F238E27FC236}">
              <a16:creationId xmlns:a16="http://schemas.microsoft.com/office/drawing/2014/main" id="{FB29BD6A-888A-482E-B648-DDDE2088B800}"/>
            </a:ext>
          </a:extLst>
        </xdr:cNvPr>
        <xdr:cNvSpPr>
          <a:spLocks noChangeShapeType="1"/>
        </xdr:cNvSpPr>
      </xdr:nvSpPr>
      <xdr:spPr bwMode="auto">
        <a:xfrm>
          <a:off x="2819400" y="3343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17</xdr:row>
      <xdr:rowOff>104775</xdr:rowOff>
    </xdr:from>
    <xdr:to>
      <xdr:col>5</xdr:col>
      <xdr:colOff>180975</xdr:colOff>
      <xdr:row>18</xdr:row>
      <xdr:rowOff>38100</xdr:rowOff>
    </xdr:to>
    <xdr:sp macro="" textlink="">
      <xdr:nvSpPr>
        <xdr:cNvPr id="85591" name="Rectangle 599">
          <a:extLst>
            <a:ext uri="{FF2B5EF4-FFF2-40B4-BE49-F238E27FC236}">
              <a16:creationId xmlns:a16="http://schemas.microsoft.com/office/drawing/2014/main" id="{EA899CDB-C176-4037-A881-0CB5FFB8B743}"/>
            </a:ext>
          </a:extLst>
        </xdr:cNvPr>
        <xdr:cNvSpPr>
          <a:spLocks noChangeArrowheads="1"/>
        </xdr:cNvSpPr>
      </xdr:nvSpPr>
      <xdr:spPr bwMode="auto">
        <a:xfrm>
          <a:off x="2819400" y="3343275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04</a:t>
          </a:r>
        </a:p>
      </xdr:txBody>
    </xdr:sp>
    <xdr:clientData/>
  </xdr:twoCellAnchor>
  <xdr:twoCellAnchor>
    <xdr:from>
      <xdr:col>4</xdr:col>
      <xdr:colOff>381000</xdr:colOff>
      <xdr:row>18</xdr:row>
      <xdr:rowOff>38100</xdr:rowOff>
    </xdr:from>
    <xdr:to>
      <xdr:col>5</xdr:col>
      <xdr:colOff>180975</xdr:colOff>
      <xdr:row>18</xdr:row>
      <xdr:rowOff>38100</xdr:rowOff>
    </xdr:to>
    <xdr:sp macro="" textlink="">
      <xdr:nvSpPr>
        <xdr:cNvPr id="85590" name="Line 598">
          <a:extLst>
            <a:ext uri="{FF2B5EF4-FFF2-40B4-BE49-F238E27FC236}">
              <a16:creationId xmlns:a16="http://schemas.microsoft.com/office/drawing/2014/main" id="{B1749DD8-0D85-46F0-AAFD-6074E0D4855A}"/>
            </a:ext>
          </a:extLst>
        </xdr:cNvPr>
        <xdr:cNvSpPr>
          <a:spLocks noChangeShapeType="1"/>
        </xdr:cNvSpPr>
      </xdr:nvSpPr>
      <xdr:spPr bwMode="auto">
        <a:xfrm>
          <a:off x="2819400" y="3467100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17</xdr:row>
      <xdr:rowOff>104775</xdr:rowOff>
    </xdr:from>
    <xdr:to>
      <xdr:col>5</xdr:col>
      <xdr:colOff>180975</xdr:colOff>
      <xdr:row>18</xdr:row>
      <xdr:rowOff>38100</xdr:rowOff>
    </xdr:to>
    <xdr:sp macro="" textlink="">
      <xdr:nvSpPr>
        <xdr:cNvPr id="85589" name="Line 597">
          <a:extLst>
            <a:ext uri="{FF2B5EF4-FFF2-40B4-BE49-F238E27FC236}">
              <a16:creationId xmlns:a16="http://schemas.microsoft.com/office/drawing/2014/main" id="{308A3903-DD99-4F17-9182-999A2055E233}"/>
            </a:ext>
          </a:extLst>
        </xdr:cNvPr>
        <xdr:cNvSpPr>
          <a:spLocks noChangeShapeType="1"/>
        </xdr:cNvSpPr>
      </xdr:nvSpPr>
      <xdr:spPr bwMode="auto">
        <a:xfrm>
          <a:off x="3228975" y="3343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18</xdr:row>
      <xdr:rowOff>38100</xdr:rowOff>
    </xdr:from>
    <xdr:to>
      <xdr:col>7</xdr:col>
      <xdr:colOff>257175</xdr:colOff>
      <xdr:row>18</xdr:row>
      <xdr:rowOff>38100</xdr:rowOff>
    </xdr:to>
    <xdr:sp macro="" textlink="">
      <xdr:nvSpPr>
        <xdr:cNvPr id="85587" name="Line 595">
          <a:extLst>
            <a:ext uri="{FF2B5EF4-FFF2-40B4-BE49-F238E27FC236}">
              <a16:creationId xmlns:a16="http://schemas.microsoft.com/office/drawing/2014/main" id="{75A5E0A7-18D7-42D0-B02B-D33A2D0E2B65}"/>
            </a:ext>
          </a:extLst>
        </xdr:cNvPr>
        <xdr:cNvSpPr>
          <a:spLocks noChangeShapeType="1"/>
        </xdr:cNvSpPr>
      </xdr:nvSpPr>
      <xdr:spPr bwMode="auto">
        <a:xfrm>
          <a:off x="3228975" y="3467100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17</xdr:row>
      <xdr:rowOff>104775</xdr:rowOff>
    </xdr:from>
    <xdr:to>
      <xdr:col>7</xdr:col>
      <xdr:colOff>257175</xdr:colOff>
      <xdr:row>18</xdr:row>
      <xdr:rowOff>38100</xdr:rowOff>
    </xdr:to>
    <xdr:sp macro="" textlink="">
      <xdr:nvSpPr>
        <xdr:cNvPr id="85586" name="Line 594">
          <a:extLst>
            <a:ext uri="{FF2B5EF4-FFF2-40B4-BE49-F238E27FC236}">
              <a16:creationId xmlns:a16="http://schemas.microsoft.com/office/drawing/2014/main" id="{ECCDA015-02BD-49C8-9E68-22004E7BF6F7}"/>
            </a:ext>
          </a:extLst>
        </xdr:cNvPr>
        <xdr:cNvSpPr>
          <a:spLocks noChangeShapeType="1"/>
        </xdr:cNvSpPr>
      </xdr:nvSpPr>
      <xdr:spPr bwMode="auto">
        <a:xfrm>
          <a:off x="4524375" y="3343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18</xdr:row>
      <xdr:rowOff>38100</xdr:rowOff>
    </xdr:from>
    <xdr:to>
      <xdr:col>8</xdr:col>
      <xdr:colOff>523875</xdr:colOff>
      <xdr:row>18</xdr:row>
      <xdr:rowOff>38100</xdr:rowOff>
    </xdr:to>
    <xdr:sp macro="" textlink="">
      <xdr:nvSpPr>
        <xdr:cNvPr id="85584" name="Line 592">
          <a:extLst>
            <a:ext uri="{FF2B5EF4-FFF2-40B4-BE49-F238E27FC236}">
              <a16:creationId xmlns:a16="http://schemas.microsoft.com/office/drawing/2014/main" id="{1AD1F948-EAC0-410B-BF1B-417AEEED179F}"/>
            </a:ext>
          </a:extLst>
        </xdr:cNvPr>
        <xdr:cNvSpPr>
          <a:spLocks noChangeShapeType="1"/>
        </xdr:cNvSpPr>
      </xdr:nvSpPr>
      <xdr:spPr bwMode="auto">
        <a:xfrm>
          <a:off x="4524375" y="3467100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17</xdr:row>
      <xdr:rowOff>104775</xdr:rowOff>
    </xdr:from>
    <xdr:to>
      <xdr:col>8</xdr:col>
      <xdr:colOff>523875</xdr:colOff>
      <xdr:row>18</xdr:row>
      <xdr:rowOff>38100</xdr:rowOff>
    </xdr:to>
    <xdr:sp macro="" textlink="">
      <xdr:nvSpPr>
        <xdr:cNvPr id="85583" name="Line 591">
          <a:extLst>
            <a:ext uri="{FF2B5EF4-FFF2-40B4-BE49-F238E27FC236}">
              <a16:creationId xmlns:a16="http://schemas.microsoft.com/office/drawing/2014/main" id="{4B0CFFAC-9C43-4F8F-A052-547E29BC3383}"/>
            </a:ext>
          </a:extLst>
        </xdr:cNvPr>
        <xdr:cNvSpPr>
          <a:spLocks noChangeShapeType="1"/>
        </xdr:cNvSpPr>
      </xdr:nvSpPr>
      <xdr:spPr bwMode="auto">
        <a:xfrm>
          <a:off x="5400675" y="3343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18</xdr:row>
      <xdr:rowOff>38100</xdr:rowOff>
    </xdr:from>
    <xdr:to>
      <xdr:col>10</xdr:col>
      <xdr:colOff>190500</xdr:colOff>
      <xdr:row>18</xdr:row>
      <xdr:rowOff>38100</xdr:rowOff>
    </xdr:to>
    <xdr:sp macro="" textlink="">
      <xdr:nvSpPr>
        <xdr:cNvPr id="85581" name="Line 589">
          <a:extLst>
            <a:ext uri="{FF2B5EF4-FFF2-40B4-BE49-F238E27FC236}">
              <a16:creationId xmlns:a16="http://schemas.microsoft.com/office/drawing/2014/main" id="{B3D395E5-65B2-4695-88D5-B43F50407A33}"/>
            </a:ext>
          </a:extLst>
        </xdr:cNvPr>
        <xdr:cNvSpPr>
          <a:spLocks noChangeShapeType="1"/>
        </xdr:cNvSpPr>
      </xdr:nvSpPr>
      <xdr:spPr bwMode="auto">
        <a:xfrm>
          <a:off x="5400675" y="3467100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17</xdr:row>
      <xdr:rowOff>104775</xdr:rowOff>
    </xdr:from>
    <xdr:to>
      <xdr:col>10</xdr:col>
      <xdr:colOff>190500</xdr:colOff>
      <xdr:row>18</xdr:row>
      <xdr:rowOff>38100</xdr:rowOff>
    </xdr:to>
    <xdr:sp macro="" textlink="">
      <xdr:nvSpPr>
        <xdr:cNvPr id="85580" name="Line 588">
          <a:extLst>
            <a:ext uri="{FF2B5EF4-FFF2-40B4-BE49-F238E27FC236}">
              <a16:creationId xmlns:a16="http://schemas.microsoft.com/office/drawing/2014/main" id="{DA97D30B-4310-40E3-BD17-7F02C93600E3}"/>
            </a:ext>
          </a:extLst>
        </xdr:cNvPr>
        <xdr:cNvSpPr>
          <a:spLocks noChangeShapeType="1"/>
        </xdr:cNvSpPr>
      </xdr:nvSpPr>
      <xdr:spPr bwMode="auto">
        <a:xfrm>
          <a:off x="6286500" y="3343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18</xdr:row>
      <xdr:rowOff>38100</xdr:rowOff>
    </xdr:from>
    <xdr:to>
      <xdr:col>11</xdr:col>
      <xdr:colOff>476250</xdr:colOff>
      <xdr:row>18</xdr:row>
      <xdr:rowOff>38100</xdr:rowOff>
    </xdr:to>
    <xdr:sp macro="" textlink="">
      <xdr:nvSpPr>
        <xdr:cNvPr id="85578" name="Line 586">
          <a:extLst>
            <a:ext uri="{FF2B5EF4-FFF2-40B4-BE49-F238E27FC236}">
              <a16:creationId xmlns:a16="http://schemas.microsoft.com/office/drawing/2014/main" id="{CBE0019F-4F46-49C5-94E9-5ED71DF70022}"/>
            </a:ext>
          </a:extLst>
        </xdr:cNvPr>
        <xdr:cNvSpPr>
          <a:spLocks noChangeShapeType="1"/>
        </xdr:cNvSpPr>
      </xdr:nvSpPr>
      <xdr:spPr bwMode="auto">
        <a:xfrm>
          <a:off x="6286500" y="3467100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17</xdr:row>
      <xdr:rowOff>104775</xdr:rowOff>
    </xdr:from>
    <xdr:to>
      <xdr:col>11</xdr:col>
      <xdr:colOff>466725</xdr:colOff>
      <xdr:row>18</xdr:row>
      <xdr:rowOff>38100</xdr:rowOff>
    </xdr:to>
    <xdr:sp macro="" textlink="">
      <xdr:nvSpPr>
        <xdr:cNvPr id="85577" name="Line 585">
          <a:extLst>
            <a:ext uri="{FF2B5EF4-FFF2-40B4-BE49-F238E27FC236}">
              <a16:creationId xmlns:a16="http://schemas.microsoft.com/office/drawing/2014/main" id="{5FEF5C75-822B-4A02-AA77-07D90A3741F2}"/>
            </a:ext>
          </a:extLst>
        </xdr:cNvPr>
        <xdr:cNvSpPr>
          <a:spLocks noChangeShapeType="1"/>
        </xdr:cNvSpPr>
      </xdr:nvSpPr>
      <xdr:spPr bwMode="auto">
        <a:xfrm>
          <a:off x="7172325" y="3343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18</xdr:row>
      <xdr:rowOff>38100</xdr:rowOff>
    </xdr:from>
    <xdr:to>
      <xdr:col>11</xdr:col>
      <xdr:colOff>466725</xdr:colOff>
      <xdr:row>18</xdr:row>
      <xdr:rowOff>161925</xdr:rowOff>
    </xdr:to>
    <xdr:sp macro="" textlink="">
      <xdr:nvSpPr>
        <xdr:cNvPr id="85576" name="Rectangle 584">
          <a:extLst>
            <a:ext uri="{FF2B5EF4-FFF2-40B4-BE49-F238E27FC236}">
              <a16:creationId xmlns:a16="http://schemas.microsoft.com/office/drawing/2014/main" id="{25099651-550B-463C-873B-302EA23C4F64}"/>
            </a:ext>
          </a:extLst>
        </xdr:cNvPr>
        <xdr:cNvSpPr>
          <a:spLocks noChangeArrowheads="1"/>
        </xdr:cNvSpPr>
      </xdr:nvSpPr>
      <xdr:spPr bwMode="auto">
        <a:xfrm>
          <a:off x="381000" y="3467100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18</xdr:row>
      <xdr:rowOff>38100</xdr:rowOff>
    </xdr:from>
    <xdr:to>
      <xdr:col>4</xdr:col>
      <xdr:colOff>381000</xdr:colOff>
      <xdr:row>18</xdr:row>
      <xdr:rowOff>161925</xdr:rowOff>
    </xdr:to>
    <xdr:sp macro="" textlink="">
      <xdr:nvSpPr>
        <xdr:cNvPr id="85575" name="Rectangle 583">
          <a:extLst>
            <a:ext uri="{FF2B5EF4-FFF2-40B4-BE49-F238E27FC236}">
              <a16:creationId xmlns:a16="http://schemas.microsoft.com/office/drawing/2014/main" id="{54D25B6F-BEF9-4850-A095-59E77E1BCC7F}"/>
            </a:ext>
          </a:extLst>
        </xdr:cNvPr>
        <xdr:cNvSpPr>
          <a:spLocks noChangeArrowheads="1"/>
        </xdr:cNvSpPr>
      </xdr:nvSpPr>
      <xdr:spPr bwMode="auto">
        <a:xfrm>
          <a:off x="381000" y="3467100"/>
          <a:ext cx="2438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Roboty publiczne</a:t>
          </a:r>
        </a:p>
      </xdr:txBody>
    </xdr:sp>
    <xdr:clientData/>
  </xdr:twoCellAnchor>
  <xdr:twoCellAnchor>
    <xdr:from>
      <xdr:col>0</xdr:col>
      <xdr:colOff>381000</xdr:colOff>
      <xdr:row>18</xdr:row>
      <xdr:rowOff>38100</xdr:rowOff>
    </xdr:from>
    <xdr:to>
      <xdr:col>0</xdr:col>
      <xdr:colOff>381000</xdr:colOff>
      <xdr:row>18</xdr:row>
      <xdr:rowOff>171450</xdr:rowOff>
    </xdr:to>
    <xdr:sp macro="" textlink="">
      <xdr:nvSpPr>
        <xdr:cNvPr id="85574" name="Line 582">
          <a:extLst>
            <a:ext uri="{FF2B5EF4-FFF2-40B4-BE49-F238E27FC236}">
              <a16:creationId xmlns:a16="http://schemas.microsoft.com/office/drawing/2014/main" id="{FDFBAB40-55C8-4028-8A27-7CE2BF7192F1}"/>
            </a:ext>
          </a:extLst>
        </xdr:cNvPr>
        <xdr:cNvSpPr>
          <a:spLocks noChangeShapeType="1"/>
        </xdr:cNvSpPr>
      </xdr:nvSpPr>
      <xdr:spPr bwMode="auto">
        <a:xfrm>
          <a:off x="381000" y="3467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18</xdr:row>
      <xdr:rowOff>161925</xdr:rowOff>
    </xdr:from>
    <xdr:to>
      <xdr:col>4</xdr:col>
      <xdr:colOff>381000</xdr:colOff>
      <xdr:row>18</xdr:row>
      <xdr:rowOff>161925</xdr:rowOff>
    </xdr:to>
    <xdr:sp macro="" textlink="">
      <xdr:nvSpPr>
        <xdr:cNvPr id="85573" name="Line 581">
          <a:extLst>
            <a:ext uri="{FF2B5EF4-FFF2-40B4-BE49-F238E27FC236}">
              <a16:creationId xmlns:a16="http://schemas.microsoft.com/office/drawing/2014/main" id="{4BE1EECC-8FB2-413D-837E-6F9BD9102098}"/>
            </a:ext>
          </a:extLst>
        </xdr:cNvPr>
        <xdr:cNvSpPr>
          <a:spLocks noChangeShapeType="1"/>
        </xdr:cNvSpPr>
      </xdr:nvSpPr>
      <xdr:spPr bwMode="auto">
        <a:xfrm>
          <a:off x="381000" y="359092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18</xdr:row>
      <xdr:rowOff>38100</xdr:rowOff>
    </xdr:from>
    <xdr:to>
      <xdr:col>4</xdr:col>
      <xdr:colOff>381000</xdr:colOff>
      <xdr:row>18</xdr:row>
      <xdr:rowOff>171450</xdr:rowOff>
    </xdr:to>
    <xdr:sp macro="" textlink="">
      <xdr:nvSpPr>
        <xdr:cNvPr id="85572" name="Line 580">
          <a:extLst>
            <a:ext uri="{FF2B5EF4-FFF2-40B4-BE49-F238E27FC236}">
              <a16:creationId xmlns:a16="http://schemas.microsoft.com/office/drawing/2014/main" id="{48808C69-6A36-4201-8311-295DBF565172}"/>
            </a:ext>
          </a:extLst>
        </xdr:cNvPr>
        <xdr:cNvSpPr>
          <a:spLocks noChangeShapeType="1"/>
        </xdr:cNvSpPr>
      </xdr:nvSpPr>
      <xdr:spPr bwMode="auto">
        <a:xfrm>
          <a:off x="2819400" y="3467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18</xdr:row>
      <xdr:rowOff>38100</xdr:rowOff>
    </xdr:from>
    <xdr:to>
      <xdr:col>5</xdr:col>
      <xdr:colOff>180975</xdr:colOff>
      <xdr:row>18</xdr:row>
      <xdr:rowOff>161925</xdr:rowOff>
    </xdr:to>
    <xdr:sp macro="" textlink="">
      <xdr:nvSpPr>
        <xdr:cNvPr id="85571" name="Rectangle 579">
          <a:extLst>
            <a:ext uri="{FF2B5EF4-FFF2-40B4-BE49-F238E27FC236}">
              <a16:creationId xmlns:a16="http://schemas.microsoft.com/office/drawing/2014/main" id="{7901B00D-E7E4-4CF8-A94A-AD4EE4EC9288}"/>
            </a:ext>
          </a:extLst>
        </xdr:cNvPr>
        <xdr:cNvSpPr>
          <a:spLocks noChangeArrowheads="1"/>
        </xdr:cNvSpPr>
      </xdr:nvSpPr>
      <xdr:spPr bwMode="auto">
        <a:xfrm>
          <a:off x="2819400" y="3467100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05</a:t>
          </a:r>
        </a:p>
      </xdr:txBody>
    </xdr:sp>
    <xdr:clientData/>
  </xdr:twoCellAnchor>
  <xdr:twoCellAnchor>
    <xdr:from>
      <xdr:col>4</xdr:col>
      <xdr:colOff>381000</xdr:colOff>
      <xdr:row>18</xdr:row>
      <xdr:rowOff>161925</xdr:rowOff>
    </xdr:from>
    <xdr:to>
      <xdr:col>5</xdr:col>
      <xdr:colOff>180975</xdr:colOff>
      <xdr:row>18</xdr:row>
      <xdr:rowOff>161925</xdr:rowOff>
    </xdr:to>
    <xdr:sp macro="" textlink="">
      <xdr:nvSpPr>
        <xdr:cNvPr id="85570" name="Line 578">
          <a:extLst>
            <a:ext uri="{FF2B5EF4-FFF2-40B4-BE49-F238E27FC236}">
              <a16:creationId xmlns:a16="http://schemas.microsoft.com/office/drawing/2014/main" id="{E68CAC40-F442-4111-A54C-C482223678E5}"/>
            </a:ext>
          </a:extLst>
        </xdr:cNvPr>
        <xdr:cNvSpPr>
          <a:spLocks noChangeShapeType="1"/>
        </xdr:cNvSpPr>
      </xdr:nvSpPr>
      <xdr:spPr bwMode="auto">
        <a:xfrm>
          <a:off x="2819400" y="359092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18</xdr:row>
      <xdr:rowOff>38100</xdr:rowOff>
    </xdr:from>
    <xdr:to>
      <xdr:col>5</xdr:col>
      <xdr:colOff>180975</xdr:colOff>
      <xdr:row>18</xdr:row>
      <xdr:rowOff>171450</xdr:rowOff>
    </xdr:to>
    <xdr:sp macro="" textlink="">
      <xdr:nvSpPr>
        <xdr:cNvPr id="85569" name="Line 577">
          <a:extLst>
            <a:ext uri="{FF2B5EF4-FFF2-40B4-BE49-F238E27FC236}">
              <a16:creationId xmlns:a16="http://schemas.microsoft.com/office/drawing/2014/main" id="{9FE926F0-143B-4B87-B46F-122455B9781E}"/>
            </a:ext>
          </a:extLst>
        </xdr:cNvPr>
        <xdr:cNvSpPr>
          <a:spLocks noChangeShapeType="1"/>
        </xdr:cNvSpPr>
      </xdr:nvSpPr>
      <xdr:spPr bwMode="auto">
        <a:xfrm>
          <a:off x="3228975" y="3467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18</xdr:row>
      <xdr:rowOff>161925</xdr:rowOff>
    </xdr:from>
    <xdr:to>
      <xdr:col>7</xdr:col>
      <xdr:colOff>257175</xdr:colOff>
      <xdr:row>18</xdr:row>
      <xdr:rowOff>161925</xdr:rowOff>
    </xdr:to>
    <xdr:sp macro="" textlink="">
      <xdr:nvSpPr>
        <xdr:cNvPr id="85567" name="Line 575">
          <a:extLst>
            <a:ext uri="{FF2B5EF4-FFF2-40B4-BE49-F238E27FC236}">
              <a16:creationId xmlns:a16="http://schemas.microsoft.com/office/drawing/2014/main" id="{7936D7DD-F2EC-4EDC-9E64-EA3ED1A1B761}"/>
            </a:ext>
          </a:extLst>
        </xdr:cNvPr>
        <xdr:cNvSpPr>
          <a:spLocks noChangeShapeType="1"/>
        </xdr:cNvSpPr>
      </xdr:nvSpPr>
      <xdr:spPr bwMode="auto">
        <a:xfrm>
          <a:off x="3228975" y="359092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18</xdr:row>
      <xdr:rowOff>38100</xdr:rowOff>
    </xdr:from>
    <xdr:to>
      <xdr:col>7</xdr:col>
      <xdr:colOff>257175</xdr:colOff>
      <xdr:row>18</xdr:row>
      <xdr:rowOff>171450</xdr:rowOff>
    </xdr:to>
    <xdr:sp macro="" textlink="">
      <xdr:nvSpPr>
        <xdr:cNvPr id="85566" name="Line 574">
          <a:extLst>
            <a:ext uri="{FF2B5EF4-FFF2-40B4-BE49-F238E27FC236}">
              <a16:creationId xmlns:a16="http://schemas.microsoft.com/office/drawing/2014/main" id="{5B0B69FD-B3A2-4163-81EC-BE78B029BC65}"/>
            </a:ext>
          </a:extLst>
        </xdr:cNvPr>
        <xdr:cNvSpPr>
          <a:spLocks noChangeShapeType="1"/>
        </xdr:cNvSpPr>
      </xdr:nvSpPr>
      <xdr:spPr bwMode="auto">
        <a:xfrm>
          <a:off x="4524375" y="3467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18</xdr:row>
      <xdr:rowOff>161925</xdr:rowOff>
    </xdr:from>
    <xdr:to>
      <xdr:col>8</xdr:col>
      <xdr:colOff>523875</xdr:colOff>
      <xdr:row>18</xdr:row>
      <xdr:rowOff>161925</xdr:rowOff>
    </xdr:to>
    <xdr:sp macro="" textlink="">
      <xdr:nvSpPr>
        <xdr:cNvPr id="85564" name="Line 572">
          <a:extLst>
            <a:ext uri="{FF2B5EF4-FFF2-40B4-BE49-F238E27FC236}">
              <a16:creationId xmlns:a16="http://schemas.microsoft.com/office/drawing/2014/main" id="{9F3FB36E-D5DE-4825-A403-E25CB4A6EDD2}"/>
            </a:ext>
          </a:extLst>
        </xdr:cNvPr>
        <xdr:cNvSpPr>
          <a:spLocks noChangeShapeType="1"/>
        </xdr:cNvSpPr>
      </xdr:nvSpPr>
      <xdr:spPr bwMode="auto">
        <a:xfrm>
          <a:off x="4524375" y="359092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18</xdr:row>
      <xdr:rowOff>38100</xdr:rowOff>
    </xdr:from>
    <xdr:to>
      <xdr:col>8</xdr:col>
      <xdr:colOff>523875</xdr:colOff>
      <xdr:row>18</xdr:row>
      <xdr:rowOff>171450</xdr:rowOff>
    </xdr:to>
    <xdr:sp macro="" textlink="">
      <xdr:nvSpPr>
        <xdr:cNvPr id="85563" name="Line 571">
          <a:extLst>
            <a:ext uri="{FF2B5EF4-FFF2-40B4-BE49-F238E27FC236}">
              <a16:creationId xmlns:a16="http://schemas.microsoft.com/office/drawing/2014/main" id="{D96B23FA-71CE-4F93-8DE3-C0FD5FF4327D}"/>
            </a:ext>
          </a:extLst>
        </xdr:cNvPr>
        <xdr:cNvSpPr>
          <a:spLocks noChangeShapeType="1"/>
        </xdr:cNvSpPr>
      </xdr:nvSpPr>
      <xdr:spPr bwMode="auto">
        <a:xfrm>
          <a:off x="5400675" y="3467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18</xdr:row>
      <xdr:rowOff>161925</xdr:rowOff>
    </xdr:from>
    <xdr:to>
      <xdr:col>10</xdr:col>
      <xdr:colOff>190500</xdr:colOff>
      <xdr:row>18</xdr:row>
      <xdr:rowOff>161925</xdr:rowOff>
    </xdr:to>
    <xdr:sp macro="" textlink="">
      <xdr:nvSpPr>
        <xdr:cNvPr id="85561" name="Line 569">
          <a:extLst>
            <a:ext uri="{FF2B5EF4-FFF2-40B4-BE49-F238E27FC236}">
              <a16:creationId xmlns:a16="http://schemas.microsoft.com/office/drawing/2014/main" id="{57FF7115-5DAE-4377-9889-04CB87B582B9}"/>
            </a:ext>
          </a:extLst>
        </xdr:cNvPr>
        <xdr:cNvSpPr>
          <a:spLocks noChangeShapeType="1"/>
        </xdr:cNvSpPr>
      </xdr:nvSpPr>
      <xdr:spPr bwMode="auto">
        <a:xfrm>
          <a:off x="5400675" y="359092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18</xdr:row>
      <xdr:rowOff>38100</xdr:rowOff>
    </xdr:from>
    <xdr:to>
      <xdr:col>10</xdr:col>
      <xdr:colOff>190500</xdr:colOff>
      <xdr:row>18</xdr:row>
      <xdr:rowOff>171450</xdr:rowOff>
    </xdr:to>
    <xdr:sp macro="" textlink="">
      <xdr:nvSpPr>
        <xdr:cNvPr id="85560" name="Line 568">
          <a:extLst>
            <a:ext uri="{FF2B5EF4-FFF2-40B4-BE49-F238E27FC236}">
              <a16:creationId xmlns:a16="http://schemas.microsoft.com/office/drawing/2014/main" id="{1F81B50D-B217-4A6A-8269-347F6DC3090D}"/>
            </a:ext>
          </a:extLst>
        </xdr:cNvPr>
        <xdr:cNvSpPr>
          <a:spLocks noChangeShapeType="1"/>
        </xdr:cNvSpPr>
      </xdr:nvSpPr>
      <xdr:spPr bwMode="auto">
        <a:xfrm>
          <a:off x="6286500" y="3467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18</xdr:row>
      <xdr:rowOff>161925</xdr:rowOff>
    </xdr:from>
    <xdr:to>
      <xdr:col>11</xdr:col>
      <xdr:colOff>476250</xdr:colOff>
      <xdr:row>18</xdr:row>
      <xdr:rowOff>161925</xdr:rowOff>
    </xdr:to>
    <xdr:sp macro="" textlink="">
      <xdr:nvSpPr>
        <xdr:cNvPr id="85558" name="Line 566">
          <a:extLst>
            <a:ext uri="{FF2B5EF4-FFF2-40B4-BE49-F238E27FC236}">
              <a16:creationId xmlns:a16="http://schemas.microsoft.com/office/drawing/2014/main" id="{7044BC37-EE9C-4EEA-B5F9-9EEC5638B556}"/>
            </a:ext>
          </a:extLst>
        </xdr:cNvPr>
        <xdr:cNvSpPr>
          <a:spLocks noChangeShapeType="1"/>
        </xdr:cNvSpPr>
      </xdr:nvSpPr>
      <xdr:spPr bwMode="auto">
        <a:xfrm>
          <a:off x="6286500" y="359092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18</xdr:row>
      <xdr:rowOff>38100</xdr:rowOff>
    </xdr:from>
    <xdr:to>
      <xdr:col>11</xdr:col>
      <xdr:colOff>466725</xdr:colOff>
      <xdr:row>18</xdr:row>
      <xdr:rowOff>171450</xdr:rowOff>
    </xdr:to>
    <xdr:sp macro="" textlink="">
      <xdr:nvSpPr>
        <xdr:cNvPr id="85557" name="Line 565">
          <a:extLst>
            <a:ext uri="{FF2B5EF4-FFF2-40B4-BE49-F238E27FC236}">
              <a16:creationId xmlns:a16="http://schemas.microsoft.com/office/drawing/2014/main" id="{75E0FC30-EC69-4B67-B900-1ECDC5F74D8C}"/>
            </a:ext>
          </a:extLst>
        </xdr:cNvPr>
        <xdr:cNvSpPr>
          <a:spLocks noChangeShapeType="1"/>
        </xdr:cNvSpPr>
      </xdr:nvSpPr>
      <xdr:spPr bwMode="auto">
        <a:xfrm>
          <a:off x="7172325" y="3467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18</xdr:row>
      <xdr:rowOff>161925</xdr:rowOff>
    </xdr:from>
    <xdr:to>
      <xdr:col>11</xdr:col>
      <xdr:colOff>466725</xdr:colOff>
      <xdr:row>19</xdr:row>
      <xdr:rowOff>95250</xdr:rowOff>
    </xdr:to>
    <xdr:sp macro="" textlink="">
      <xdr:nvSpPr>
        <xdr:cNvPr id="85556" name="Rectangle 564">
          <a:extLst>
            <a:ext uri="{FF2B5EF4-FFF2-40B4-BE49-F238E27FC236}">
              <a16:creationId xmlns:a16="http://schemas.microsoft.com/office/drawing/2014/main" id="{4CCC8C46-4E85-4FA5-902D-E4656F37C2BD}"/>
            </a:ext>
          </a:extLst>
        </xdr:cNvPr>
        <xdr:cNvSpPr>
          <a:spLocks noChangeArrowheads="1"/>
        </xdr:cNvSpPr>
      </xdr:nvSpPr>
      <xdr:spPr bwMode="auto">
        <a:xfrm>
          <a:off x="381000" y="3590925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18</xdr:row>
      <xdr:rowOff>161925</xdr:rowOff>
    </xdr:from>
    <xdr:to>
      <xdr:col>4</xdr:col>
      <xdr:colOff>381000</xdr:colOff>
      <xdr:row>19</xdr:row>
      <xdr:rowOff>95250</xdr:rowOff>
    </xdr:to>
    <xdr:sp macro="" textlink="">
      <xdr:nvSpPr>
        <xdr:cNvPr id="85555" name="Rectangle 563">
          <a:extLst>
            <a:ext uri="{FF2B5EF4-FFF2-40B4-BE49-F238E27FC236}">
              <a16:creationId xmlns:a16="http://schemas.microsoft.com/office/drawing/2014/main" id="{16551A43-8196-4B82-8074-71C06AC291B3}"/>
            </a:ext>
          </a:extLst>
        </xdr:cNvPr>
        <xdr:cNvSpPr>
          <a:spLocks noChangeArrowheads="1"/>
        </xdr:cNvSpPr>
      </xdr:nvSpPr>
      <xdr:spPr bwMode="auto">
        <a:xfrm>
          <a:off x="381000" y="3590925"/>
          <a:ext cx="2438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Prace społecznie użyteczne</a:t>
          </a:r>
        </a:p>
      </xdr:txBody>
    </xdr:sp>
    <xdr:clientData/>
  </xdr:twoCellAnchor>
  <xdr:twoCellAnchor>
    <xdr:from>
      <xdr:col>0</xdr:col>
      <xdr:colOff>381000</xdr:colOff>
      <xdr:row>18</xdr:row>
      <xdr:rowOff>161925</xdr:rowOff>
    </xdr:from>
    <xdr:to>
      <xdr:col>0</xdr:col>
      <xdr:colOff>381000</xdr:colOff>
      <xdr:row>19</xdr:row>
      <xdr:rowOff>104775</xdr:rowOff>
    </xdr:to>
    <xdr:sp macro="" textlink="">
      <xdr:nvSpPr>
        <xdr:cNvPr id="85554" name="Line 562">
          <a:extLst>
            <a:ext uri="{FF2B5EF4-FFF2-40B4-BE49-F238E27FC236}">
              <a16:creationId xmlns:a16="http://schemas.microsoft.com/office/drawing/2014/main" id="{BD45F4F1-E766-44B7-B644-24C2070A5053}"/>
            </a:ext>
          </a:extLst>
        </xdr:cNvPr>
        <xdr:cNvSpPr>
          <a:spLocks noChangeShapeType="1"/>
        </xdr:cNvSpPr>
      </xdr:nvSpPr>
      <xdr:spPr bwMode="auto">
        <a:xfrm>
          <a:off x="381000" y="3590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19</xdr:row>
      <xdr:rowOff>104775</xdr:rowOff>
    </xdr:from>
    <xdr:to>
      <xdr:col>4</xdr:col>
      <xdr:colOff>381000</xdr:colOff>
      <xdr:row>19</xdr:row>
      <xdr:rowOff>104775</xdr:rowOff>
    </xdr:to>
    <xdr:sp macro="" textlink="">
      <xdr:nvSpPr>
        <xdr:cNvPr id="85553" name="Line 561">
          <a:extLst>
            <a:ext uri="{FF2B5EF4-FFF2-40B4-BE49-F238E27FC236}">
              <a16:creationId xmlns:a16="http://schemas.microsoft.com/office/drawing/2014/main" id="{9A4A9A7E-D807-46BB-8241-0FB64912D874}"/>
            </a:ext>
          </a:extLst>
        </xdr:cNvPr>
        <xdr:cNvSpPr>
          <a:spLocks noChangeShapeType="1"/>
        </xdr:cNvSpPr>
      </xdr:nvSpPr>
      <xdr:spPr bwMode="auto">
        <a:xfrm>
          <a:off x="381000" y="372427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18</xdr:row>
      <xdr:rowOff>161925</xdr:rowOff>
    </xdr:from>
    <xdr:to>
      <xdr:col>4</xdr:col>
      <xdr:colOff>381000</xdr:colOff>
      <xdr:row>19</xdr:row>
      <xdr:rowOff>104775</xdr:rowOff>
    </xdr:to>
    <xdr:sp macro="" textlink="">
      <xdr:nvSpPr>
        <xdr:cNvPr id="85552" name="Line 560">
          <a:extLst>
            <a:ext uri="{FF2B5EF4-FFF2-40B4-BE49-F238E27FC236}">
              <a16:creationId xmlns:a16="http://schemas.microsoft.com/office/drawing/2014/main" id="{6AD276CB-0C93-4329-87C3-50CA72C2FF3E}"/>
            </a:ext>
          </a:extLst>
        </xdr:cNvPr>
        <xdr:cNvSpPr>
          <a:spLocks noChangeShapeType="1"/>
        </xdr:cNvSpPr>
      </xdr:nvSpPr>
      <xdr:spPr bwMode="auto">
        <a:xfrm>
          <a:off x="2819400" y="3590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18</xdr:row>
      <xdr:rowOff>161925</xdr:rowOff>
    </xdr:from>
    <xdr:to>
      <xdr:col>5</xdr:col>
      <xdr:colOff>180975</xdr:colOff>
      <xdr:row>19</xdr:row>
      <xdr:rowOff>95250</xdr:rowOff>
    </xdr:to>
    <xdr:sp macro="" textlink="">
      <xdr:nvSpPr>
        <xdr:cNvPr id="85551" name="Rectangle 559">
          <a:extLst>
            <a:ext uri="{FF2B5EF4-FFF2-40B4-BE49-F238E27FC236}">
              <a16:creationId xmlns:a16="http://schemas.microsoft.com/office/drawing/2014/main" id="{0358A59D-5B8A-44F1-B28E-12254D2C074A}"/>
            </a:ext>
          </a:extLst>
        </xdr:cNvPr>
        <xdr:cNvSpPr>
          <a:spLocks noChangeArrowheads="1"/>
        </xdr:cNvSpPr>
      </xdr:nvSpPr>
      <xdr:spPr bwMode="auto">
        <a:xfrm>
          <a:off x="2819400" y="3590925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06</a:t>
          </a:r>
        </a:p>
      </xdr:txBody>
    </xdr:sp>
    <xdr:clientData/>
  </xdr:twoCellAnchor>
  <xdr:twoCellAnchor>
    <xdr:from>
      <xdr:col>4</xdr:col>
      <xdr:colOff>381000</xdr:colOff>
      <xdr:row>19</xdr:row>
      <xdr:rowOff>104775</xdr:rowOff>
    </xdr:from>
    <xdr:to>
      <xdr:col>5</xdr:col>
      <xdr:colOff>180975</xdr:colOff>
      <xdr:row>19</xdr:row>
      <xdr:rowOff>104775</xdr:rowOff>
    </xdr:to>
    <xdr:sp macro="" textlink="">
      <xdr:nvSpPr>
        <xdr:cNvPr id="85550" name="Line 558">
          <a:extLst>
            <a:ext uri="{FF2B5EF4-FFF2-40B4-BE49-F238E27FC236}">
              <a16:creationId xmlns:a16="http://schemas.microsoft.com/office/drawing/2014/main" id="{01241D1D-7163-4CA0-90D4-45DF44C551AC}"/>
            </a:ext>
          </a:extLst>
        </xdr:cNvPr>
        <xdr:cNvSpPr>
          <a:spLocks noChangeShapeType="1"/>
        </xdr:cNvSpPr>
      </xdr:nvSpPr>
      <xdr:spPr bwMode="auto">
        <a:xfrm>
          <a:off x="2819400" y="372427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18</xdr:row>
      <xdr:rowOff>161925</xdr:rowOff>
    </xdr:from>
    <xdr:to>
      <xdr:col>5</xdr:col>
      <xdr:colOff>180975</xdr:colOff>
      <xdr:row>19</xdr:row>
      <xdr:rowOff>104775</xdr:rowOff>
    </xdr:to>
    <xdr:sp macro="" textlink="">
      <xdr:nvSpPr>
        <xdr:cNvPr id="85549" name="Line 557">
          <a:extLst>
            <a:ext uri="{FF2B5EF4-FFF2-40B4-BE49-F238E27FC236}">
              <a16:creationId xmlns:a16="http://schemas.microsoft.com/office/drawing/2014/main" id="{B2E3D1A9-0AE5-4B52-839C-7DED4362AC85}"/>
            </a:ext>
          </a:extLst>
        </xdr:cNvPr>
        <xdr:cNvSpPr>
          <a:spLocks noChangeShapeType="1"/>
        </xdr:cNvSpPr>
      </xdr:nvSpPr>
      <xdr:spPr bwMode="auto">
        <a:xfrm>
          <a:off x="3228975" y="3590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19</xdr:row>
      <xdr:rowOff>104775</xdr:rowOff>
    </xdr:from>
    <xdr:to>
      <xdr:col>7</xdr:col>
      <xdr:colOff>257175</xdr:colOff>
      <xdr:row>19</xdr:row>
      <xdr:rowOff>104775</xdr:rowOff>
    </xdr:to>
    <xdr:sp macro="" textlink="">
      <xdr:nvSpPr>
        <xdr:cNvPr id="85547" name="Line 555">
          <a:extLst>
            <a:ext uri="{FF2B5EF4-FFF2-40B4-BE49-F238E27FC236}">
              <a16:creationId xmlns:a16="http://schemas.microsoft.com/office/drawing/2014/main" id="{5E074CA5-F675-474D-814B-19C67367433D}"/>
            </a:ext>
          </a:extLst>
        </xdr:cNvPr>
        <xdr:cNvSpPr>
          <a:spLocks noChangeShapeType="1"/>
        </xdr:cNvSpPr>
      </xdr:nvSpPr>
      <xdr:spPr bwMode="auto">
        <a:xfrm>
          <a:off x="3228975" y="372427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18</xdr:row>
      <xdr:rowOff>161925</xdr:rowOff>
    </xdr:from>
    <xdr:to>
      <xdr:col>7</xdr:col>
      <xdr:colOff>257175</xdr:colOff>
      <xdr:row>19</xdr:row>
      <xdr:rowOff>104775</xdr:rowOff>
    </xdr:to>
    <xdr:sp macro="" textlink="">
      <xdr:nvSpPr>
        <xdr:cNvPr id="85546" name="Line 554">
          <a:extLst>
            <a:ext uri="{FF2B5EF4-FFF2-40B4-BE49-F238E27FC236}">
              <a16:creationId xmlns:a16="http://schemas.microsoft.com/office/drawing/2014/main" id="{7FFC2CC1-870D-437A-A2F7-8E96BA24DC47}"/>
            </a:ext>
          </a:extLst>
        </xdr:cNvPr>
        <xdr:cNvSpPr>
          <a:spLocks noChangeShapeType="1"/>
        </xdr:cNvSpPr>
      </xdr:nvSpPr>
      <xdr:spPr bwMode="auto">
        <a:xfrm>
          <a:off x="4524375" y="3590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19</xdr:row>
      <xdr:rowOff>104775</xdr:rowOff>
    </xdr:from>
    <xdr:to>
      <xdr:col>8</xdr:col>
      <xdr:colOff>523875</xdr:colOff>
      <xdr:row>19</xdr:row>
      <xdr:rowOff>104775</xdr:rowOff>
    </xdr:to>
    <xdr:sp macro="" textlink="">
      <xdr:nvSpPr>
        <xdr:cNvPr id="85544" name="Line 552">
          <a:extLst>
            <a:ext uri="{FF2B5EF4-FFF2-40B4-BE49-F238E27FC236}">
              <a16:creationId xmlns:a16="http://schemas.microsoft.com/office/drawing/2014/main" id="{C871C6A5-9AAC-498C-B1B6-89BBDFD9DCA3}"/>
            </a:ext>
          </a:extLst>
        </xdr:cNvPr>
        <xdr:cNvSpPr>
          <a:spLocks noChangeShapeType="1"/>
        </xdr:cNvSpPr>
      </xdr:nvSpPr>
      <xdr:spPr bwMode="auto">
        <a:xfrm>
          <a:off x="4524375" y="372427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18</xdr:row>
      <xdr:rowOff>161925</xdr:rowOff>
    </xdr:from>
    <xdr:to>
      <xdr:col>8</xdr:col>
      <xdr:colOff>523875</xdr:colOff>
      <xdr:row>19</xdr:row>
      <xdr:rowOff>104775</xdr:rowOff>
    </xdr:to>
    <xdr:sp macro="" textlink="">
      <xdr:nvSpPr>
        <xdr:cNvPr id="85543" name="Line 551">
          <a:extLst>
            <a:ext uri="{FF2B5EF4-FFF2-40B4-BE49-F238E27FC236}">
              <a16:creationId xmlns:a16="http://schemas.microsoft.com/office/drawing/2014/main" id="{D96ABB4A-535E-4199-AF5D-368B9FEBFE48}"/>
            </a:ext>
          </a:extLst>
        </xdr:cNvPr>
        <xdr:cNvSpPr>
          <a:spLocks noChangeShapeType="1"/>
        </xdr:cNvSpPr>
      </xdr:nvSpPr>
      <xdr:spPr bwMode="auto">
        <a:xfrm>
          <a:off x="5400675" y="3590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19</xdr:row>
      <xdr:rowOff>104775</xdr:rowOff>
    </xdr:from>
    <xdr:to>
      <xdr:col>10</xdr:col>
      <xdr:colOff>190500</xdr:colOff>
      <xdr:row>19</xdr:row>
      <xdr:rowOff>104775</xdr:rowOff>
    </xdr:to>
    <xdr:sp macro="" textlink="">
      <xdr:nvSpPr>
        <xdr:cNvPr id="85541" name="Line 549">
          <a:extLst>
            <a:ext uri="{FF2B5EF4-FFF2-40B4-BE49-F238E27FC236}">
              <a16:creationId xmlns:a16="http://schemas.microsoft.com/office/drawing/2014/main" id="{3056301F-1FC3-4864-A763-8C132DB2A89B}"/>
            </a:ext>
          </a:extLst>
        </xdr:cNvPr>
        <xdr:cNvSpPr>
          <a:spLocks noChangeShapeType="1"/>
        </xdr:cNvSpPr>
      </xdr:nvSpPr>
      <xdr:spPr bwMode="auto">
        <a:xfrm>
          <a:off x="5400675" y="372427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18</xdr:row>
      <xdr:rowOff>161925</xdr:rowOff>
    </xdr:from>
    <xdr:to>
      <xdr:col>10</xdr:col>
      <xdr:colOff>190500</xdr:colOff>
      <xdr:row>19</xdr:row>
      <xdr:rowOff>104775</xdr:rowOff>
    </xdr:to>
    <xdr:sp macro="" textlink="">
      <xdr:nvSpPr>
        <xdr:cNvPr id="85540" name="Line 548">
          <a:extLst>
            <a:ext uri="{FF2B5EF4-FFF2-40B4-BE49-F238E27FC236}">
              <a16:creationId xmlns:a16="http://schemas.microsoft.com/office/drawing/2014/main" id="{EAE45636-B6A0-4079-8627-1A430C2CA4D3}"/>
            </a:ext>
          </a:extLst>
        </xdr:cNvPr>
        <xdr:cNvSpPr>
          <a:spLocks noChangeShapeType="1"/>
        </xdr:cNvSpPr>
      </xdr:nvSpPr>
      <xdr:spPr bwMode="auto">
        <a:xfrm>
          <a:off x="6286500" y="3590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19</xdr:row>
      <xdr:rowOff>104775</xdr:rowOff>
    </xdr:from>
    <xdr:to>
      <xdr:col>11</xdr:col>
      <xdr:colOff>476250</xdr:colOff>
      <xdr:row>19</xdr:row>
      <xdr:rowOff>104775</xdr:rowOff>
    </xdr:to>
    <xdr:sp macro="" textlink="">
      <xdr:nvSpPr>
        <xdr:cNvPr id="85538" name="Line 546">
          <a:extLst>
            <a:ext uri="{FF2B5EF4-FFF2-40B4-BE49-F238E27FC236}">
              <a16:creationId xmlns:a16="http://schemas.microsoft.com/office/drawing/2014/main" id="{9BA2B807-0EBA-4DF1-A58E-3EC810EC2C1C}"/>
            </a:ext>
          </a:extLst>
        </xdr:cNvPr>
        <xdr:cNvSpPr>
          <a:spLocks noChangeShapeType="1"/>
        </xdr:cNvSpPr>
      </xdr:nvSpPr>
      <xdr:spPr bwMode="auto">
        <a:xfrm>
          <a:off x="6286500" y="372427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18</xdr:row>
      <xdr:rowOff>161925</xdr:rowOff>
    </xdr:from>
    <xdr:to>
      <xdr:col>11</xdr:col>
      <xdr:colOff>466725</xdr:colOff>
      <xdr:row>19</xdr:row>
      <xdr:rowOff>104775</xdr:rowOff>
    </xdr:to>
    <xdr:sp macro="" textlink="">
      <xdr:nvSpPr>
        <xdr:cNvPr id="85537" name="Line 545">
          <a:extLst>
            <a:ext uri="{FF2B5EF4-FFF2-40B4-BE49-F238E27FC236}">
              <a16:creationId xmlns:a16="http://schemas.microsoft.com/office/drawing/2014/main" id="{086089BD-E572-40BD-9662-0D1D9F0A5CDE}"/>
            </a:ext>
          </a:extLst>
        </xdr:cNvPr>
        <xdr:cNvSpPr>
          <a:spLocks noChangeShapeType="1"/>
        </xdr:cNvSpPr>
      </xdr:nvSpPr>
      <xdr:spPr bwMode="auto">
        <a:xfrm>
          <a:off x="7172325" y="3590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19</xdr:row>
      <xdr:rowOff>104775</xdr:rowOff>
    </xdr:from>
    <xdr:to>
      <xdr:col>11</xdr:col>
      <xdr:colOff>466725</xdr:colOff>
      <xdr:row>20</xdr:row>
      <xdr:rowOff>38100</xdr:rowOff>
    </xdr:to>
    <xdr:sp macro="" textlink="">
      <xdr:nvSpPr>
        <xdr:cNvPr id="85536" name="Rectangle 544">
          <a:extLst>
            <a:ext uri="{FF2B5EF4-FFF2-40B4-BE49-F238E27FC236}">
              <a16:creationId xmlns:a16="http://schemas.microsoft.com/office/drawing/2014/main" id="{43131C74-A62F-4D35-91EB-AAC2D5C79F28}"/>
            </a:ext>
          </a:extLst>
        </xdr:cNvPr>
        <xdr:cNvSpPr>
          <a:spLocks noChangeArrowheads="1"/>
        </xdr:cNvSpPr>
      </xdr:nvSpPr>
      <xdr:spPr bwMode="auto">
        <a:xfrm>
          <a:off x="381000" y="3724275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19</xdr:row>
      <xdr:rowOff>104775</xdr:rowOff>
    </xdr:from>
    <xdr:to>
      <xdr:col>4</xdr:col>
      <xdr:colOff>381000</xdr:colOff>
      <xdr:row>20</xdr:row>
      <xdr:rowOff>38100</xdr:rowOff>
    </xdr:to>
    <xdr:sp macro="" textlink="">
      <xdr:nvSpPr>
        <xdr:cNvPr id="85535" name="Rectangle 543">
          <a:extLst>
            <a:ext uri="{FF2B5EF4-FFF2-40B4-BE49-F238E27FC236}">
              <a16:creationId xmlns:a16="http://schemas.microsoft.com/office/drawing/2014/main" id="{F34A1DF8-E574-449B-88D4-7B3F6A06AEF5}"/>
            </a:ext>
          </a:extLst>
        </xdr:cNvPr>
        <xdr:cNvSpPr>
          <a:spLocks noChangeArrowheads="1"/>
        </xdr:cNvSpPr>
      </xdr:nvSpPr>
      <xdr:spPr bwMode="auto">
        <a:xfrm>
          <a:off x="381000" y="3724275"/>
          <a:ext cx="2438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Program Aktywizacja i Integracja</a:t>
          </a:r>
        </a:p>
      </xdr:txBody>
    </xdr:sp>
    <xdr:clientData/>
  </xdr:twoCellAnchor>
  <xdr:twoCellAnchor>
    <xdr:from>
      <xdr:col>0</xdr:col>
      <xdr:colOff>381000</xdr:colOff>
      <xdr:row>19</xdr:row>
      <xdr:rowOff>104775</xdr:rowOff>
    </xdr:from>
    <xdr:to>
      <xdr:col>0</xdr:col>
      <xdr:colOff>381000</xdr:colOff>
      <xdr:row>20</xdr:row>
      <xdr:rowOff>38100</xdr:rowOff>
    </xdr:to>
    <xdr:sp macro="" textlink="">
      <xdr:nvSpPr>
        <xdr:cNvPr id="85534" name="Line 542">
          <a:extLst>
            <a:ext uri="{FF2B5EF4-FFF2-40B4-BE49-F238E27FC236}">
              <a16:creationId xmlns:a16="http://schemas.microsoft.com/office/drawing/2014/main" id="{278A3A0E-5119-45B9-A0A5-AFDE5B130F6C}"/>
            </a:ext>
          </a:extLst>
        </xdr:cNvPr>
        <xdr:cNvSpPr>
          <a:spLocks noChangeShapeType="1"/>
        </xdr:cNvSpPr>
      </xdr:nvSpPr>
      <xdr:spPr bwMode="auto">
        <a:xfrm>
          <a:off x="381000" y="3724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20</xdr:row>
      <xdr:rowOff>38100</xdr:rowOff>
    </xdr:from>
    <xdr:to>
      <xdr:col>4</xdr:col>
      <xdr:colOff>381000</xdr:colOff>
      <xdr:row>20</xdr:row>
      <xdr:rowOff>38100</xdr:rowOff>
    </xdr:to>
    <xdr:sp macro="" textlink="">
      <xdr:nvSpPr>
        <xdr:cNvPr id="85533" name="Line 541">
          <a:extLst>
            <a:ext uri="{FF2B5EF4-FFF2-40B4-BE49-F238E27FC236}">
              <a16:creationId xmlns:a16="http://schemas.microsoft.com/office/drawing/2014/main" id="{515E0253-FE22-46A3-8AE3-E9028F6F18BF}"/>
            </a:ext>
          </a:extLst>
        </xdr:cNvPr>
        <xdr:cNvSpPr>
          <a:spLocks noChangeShapeType="1"/>
        </xdr:cNvSpPr>
      </xdr:nvSpPr>
      <xdr:spPr bwMode="auto">
        <a:xfrm>
          <a:off x="381000" y="3848100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19</xdr:row>
      <xdr:rowOff>104775</xdr:rowOff>
    </xdr:from>
    <xdr:to>
      <xdr:col>4</xdr:col>
      <xdr:colOff>381000</xdr:colOff>
      <xdr:row>20</xdr:row>
      <xdr:rowOff>38100</xdr:rowOff>
    </xdr:to>
    <xdr:sp macro="" textlink="">
      <xdr:nvSpPr>
        <xdr:cNvPr id="85532" name="Line 540">
          <a:extLst>
            <a:ext uri="{FF2B5EF4-FFF2-40B4-BE49-F238E27FC236}">
              <a16:creationId xmlns:a16="http://schemas.microsoft.com/office/drawing/2014/main" id="{8EDB78E0-A6D6-45FC-B853-C14C2C7D3A18}"/>
            </a:ext>
          </a:extLst>
        </xdr:cNvPr>
        <xdr:cNvSpPr>
          <a:spLocks noChangeShapeType="1"/>
        </xdr:cNvSpPr>
      </xdr:nvSpPr>
      <xdr:spPr bwMode="auto">
        <a:xfrm>
          <a:off x="2819400" y="3724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19</xdr:row>
      <xdr:rowOff>104775</xdr:rowOff>
    </xdr:from>
    <xdr:to>
      <xdr:col>5</xdr:col>
      <xdr:colOff>180975</xdr:colOff>
      <xdr:row>20</xdr:row>
      <xdr:rowOff>38100</xdr:rowOff>
    </xdr:to>
    <xdr:sp macro="" textlink="">
      <xdr:nvSpPr>
        <xdr:cNvPr id="85531" name="Rectangle 539">
          <a:extLst>
            <a:ext uri="{FF2B5EF4-FFF2-40B4-BE49-F238E27FC236}">
              <a16:creationId xmlns:a16="http://schemas.microsoft.com/office/drawing/2014/main" id="{C47575F2-4E96-4175-9CEC-73AA664F73A4}"/>
            </a:ext>
          </a:extLst>
        </xdr:cNvPr>
        <xdr:cNvSpPr>
          <a:spLocks noChangeArrowheads="1"/>
        </xdr:cNvSpPr>
      </xdr:nvSpPr>
      <xdr:spPr bwMode="auto">
        <a:xfrm>
          <a:off x="2819400" y="3724275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07</a:t>
          </a:r>
        </a:p>
      </xdr:txBody>
    </xdr:sp>
    <xdr:clientData/>
  </xdr:twoCellAnchor>
  <xdr:twoCellAnchor>
    <xdr:from>
      <xdr:col>4</xdr:col>
      <xdr:colOff>381000</xdr:colOff>
      <xdr:row>20</xdr:row>
      <xdr:rowOff>38100</xdr:rowOff>
    </xdr:from>
    <xdr:to>
      <xdr:col>5</xdr:col>
      <xdr:colOff>180975</xdr:colOff>
      <xdr:row>20</xdr:row>
      <xdr:rowOff>38100</xdr:rowOff>
    </xdr:to>
    <xdr:sp macro="" textlink="">
      <xdr:nvSpPr>
        <xdr:cNvPr id="85530" name="Line 538">
          <a:extLst>
            <a:ext uri="{FF2B5EF4-FFF2-40B4-BE49-F238E27FC236}">
              <a16:creationId xmlns:a16="http://schemas.microsoft.com/office/drawing/2014/main" id="{438A093F-7221-41BC-BCD7-9A02F1A5FDD5}"/>
            </a:ext>
          </a:extLst>
        </xdr:cNvPr>
        <xdr:cNvSpPr>
          <a:spLocks noChangeShapeType="1"/>
        </xdr:cNvSpPr>
      </xdr:nvSpPr>
      <xdr:spPr bwMode="auto">
        <a:xfrm>
          <a:off x="2819400" y="3848100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19</xdr:row>
      <xdr:rowOff>104775</xdr:rowOff>
    </xdr:from>
    <xdr:to>
      <xdr:col>5</xdr:col>
      <xdr:colOff>180975</xdr:colOff>
      <xdr:row>20</xdr:row>
      <xdr:rowOff>38100</xdr:rowOff>
    </xdr:to>
    <xdr:sp macro="" textlink="">
      <xdr:nvSpPr>
        <xdr:cNvPr id="85529" name="Line 537">
          <a:extLst>
            <a:ext uri="{FF2B5EF4-FFF2-40B4-BE49-F238E27FC236}">
              <a16:creationId xmlns:a16="http://schemas.microsoft.com/office/drawing/2014/main" id="{D9D11462-8775-492E-B56D-CFD38194EDE8}"/>
            </a:ext>
          </a:extLst>
        </xdr:cNvPr>
        <xdr:cNvSpPr>
          <a:spLocks noChangeShapeType="1"/>
        </xdr:cNvSpPr>
      </xdr:nvSpPr>
      <xdr:spPr bwMode="auto">
        <a:xfrm>
          <a:off x="3228975" y="3724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20</xdr:row>
      <xdr:rowOff>38100</xdr:rowOff>
    </xdr:from>
    <xdr:to>
      <xdr:col>7</xdr:col>
      <xdr:colOff>257175</xdr:colOff>
      <xdr:row>20</xdr:row>
      <xdr:rowOff>38100</xdr:rowOff>
    </xdr:to>
    <xdr:sp macro="" textlink="">
      <xdr:nvSpPr>
        <xdr:cNvPr id="85527" name="Line 535">
          <a:extLst>
            <a:ext uri="{FF2B5EF4-FFF2-40B4-BE49-F238E27FC236}">
              <a16:creationId xmlns:a16="http://schemas.microsoft.com/office/drawing/2014/main" id="{B9D64B83-2C7B-43C4-9B05-1AD61E189E77}"/>
            </a:ext>
          </a:extLst>
        </xdr:cNvPr>
        <xdr:cNvSpPr>
          <a:spLocks noChangeShapeType="1"/>
        </xdr:cNvSpPr>
      </xdr:nvSpPr>
      <xdr:spPr bwMode="auto">
        <a:xfrm>
          <a:off x="3228975" y="3848100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19</xdr:row>
      <xdr:rowOff>104775</xdr:rowOff>
    </xdr:from>
    <xdr:to>
      <xdr:col>7</xdr:col>
      <xdr:colOff>257175</xdr:colOff>
      <xdr:row>20</xdr:row>
      <xdr:rowOff>38100</xdr:rowOff>
    </xdr:to>
    <xdr:sp macro="" textlink="">
      <xdr:nvSpPr>
        <xdr:cNvPr id="85526" name="Line 534">
          <a:extLst>
            <a:ext uri="{FF2B5EF4-FFF2-40B4-BE49-F238E27FC236}">
              <a16:creationId xmlns:a16="http://schemas.microsoft.com/office/drawing/2014/main" id="{7398B97F-0548-4C3A-B8E2-E90CCE5348FF}"/>
            </a:ext>
          </a:extLst>
        </xdr:cNvPr>
        <xdr:cNvSpPr>
          <a:spLocks noChangeShapeType="1"/>
        </xdr:cNvSpPr>
      </xdr:nvSpPr>
      <xdr:spPr bwMode="auto">
        <a:xfrm>
          <a:off x="4524375" y="3724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20</xdr:row>
      <xdr:rowOff>38100</xdr:rowOff>
    </xdr:from>
    <xdr:to>
      <xdr:col>8</xdr:col>
      <xdr:colOff>523875</xdr:colOff>
      <xdr:row>20</xdr:row>
      <xdr:rowOff>38100</xdr:rowOff>
    </xdr:to>
    <xdr:sp macro="" textlink="">
      <xdr:nvSpPr>
        <xdr:cNvPr id="85524" name="Line 532">
          <a:extLst>
            <a:ext uri="{FF2B5EF4-FFF2-40B4-BE49-F238E27FC236}">
              <a16:creationId xmlns:a16="http://schemas.microsoft.com/office/drawing/2014/main" id="{DB7F5A7C-466A-41A4-A3A7-A561D32923BC}"/>
            </a:ext>
          </a:extLst>
        </xdr:cNvPr>
        <xdr:cNvSpPr>
          <a:spLocks noChangeShapeType="1"/>
        </xdr:cNvSpPr>
      </xdr:nvSpPr>
      <xdr:spPr bwMode="auto">
        <a:xfrm>
          <a:off x="4524375" y="3848100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19</xdr:row>
      <xdr:rowOff>104775</xdr:rowOff>
    </xdr:from>
    <xdr:to>
      <xdr:col>8</xdr:col>
      <xdr:colOff>523875</xdr:colOff>
      <xdr:row>20</xdr:row>
      <xdr:rowOff>38100</xdr:rowOff>
    </xdr:to>
    <xdr:sp macro="" textlink="">
      <xdr:nvSpPr>
        <xdr:cNvPr id="85523" name="Line 531">
          <a:extLst>
            <a:ext uri="{FF2B5EF4-FFF2-40B4-BE49-F238E27FC236}">
              <a16:creationId xmlns:a16="http://schemas.microsoft.com/office/drawing/2014/main" id="{65D1BB99-0AB1-4FA4-945F-BEF6BA085C9E}"/>
            </a:ext>
          </a:extLst>
        </xdr:cNvPr>
        <xdr:cNvSpPr>
          <a:spLocks noChangeShapeType="1"/>
        </xdr:cNvSpPr>
      </xdr:nvSpPr>
      <xdr:spPr bwMode="auto">
        <a:xfrm>
          <a:off x="5400675" y="3724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20</xdr:row>
      <xdr:rowOff>38100</xdr:rowOff>
    </xdr:from>
    <xdr:to>
      <xdr:col>10</xdr:col>
      <xdr:colOff>190500</xdr:colOff>
      <xdr:row>20</xdr:row>
      <xdr:rowOff>38100</xdr:rowOff>
    </xdr:to>
    <xdr:sp macro="" textlink="">
      <xdr:nvSpPr>
        <xdr:cNvPr id="85521" name="Line 529">
          <a:extLst>
            <a:ext uri="{FF2B5EF4-FFF2-40B4-BE49-F238E27FC236}">
              <a16:creationId xmlns:a16="http://schemas.microsoft.com/office/drawing/2014/main" id="{9E9B9B1D-39E1-4C6E-9EAA-7D0B275A1762}"/>
            </a:ext>
          </a:extLst>
        </xdr:cNvPr>
        <xdr:cNvSpPr>
          <a:spLocks noChangeShapeType="1"/>
        </xdr:cNvSpPr>
      </xdr:nvSpPr>
      <xdr:spPr bwMode="auto">
        <a:xfrm>
          <a:off x="5400675" y="3848100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19</xdr:row>
      <xdr:rowOff>104775</xdr:rowOff>
    </xdr:from>
    <xdr:to>
      <xdr:col>10</xdr:col>
      <xdr:colOff>190500</xdr:colOff>
      <xdr:row>20</xdr:row>
      <xdr:rowOff>38100</xdr:rowOff>
    </xdr:to>
    <xdr:sp macro="" textlink="">
      <xdr:nvSpPr>
        <xdr:cNvPr id="85520" name="Line 528">
          <a:extLst>
            <a:ext uri="{FF2B5EF4-FFF2-40B4-BE49-F238E27FC236}">
              <a16:creationId xmlns:a16="http://schemas.microsoft.com/office/drawing/2014/main" id="{25161C36-D188-4D9D-97CE-E97AF0945D04}"/>
            </a:ext>
          </a:extLst>
        </xdr:cNvPr>
        <xdr:cNvSpPr>
          <a:spLocks noChangeShapeType="1"/>
        </xdr:cNvSpPr>
      </xdr:nvSpPr>
      <xdr:spPr bwMode="auto">
        <a:xfrm>
          <a:off x="6286500" y="3724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20</xdr:row>
      <xdr:rowOff>38100</xdr:rowOff>
    </xdr:from>
    <xdr:to>
      <xdr:col>11</xdr:col>
      <xdr:colOff>476250</xdr:colOff>
      <xdr:row>20</xdr:row>
      <xdr:rowOff>38100</xdr:rowOff>
    </xdr:to>
    <xdr:sp macro="" textlink="">
      <xdr:nvSpPr>
        <xdr:cNvPr id="85518" name="Line 526">
          <a:extLst>
            <a:ext uri="{FF2B5EF4-FFF2-40B4-BE49-F238E27FC236}">
              <a16:creationId xmlns:a16="http://schemas.microsoft.com/office/drawing/2014/main" id="{075D807F-A823-4E6B-9837-076C6A1F5096}"/>
            </a:ext>
          </a:extLst>
        </xdr:cNvPr>
        <xdr:cNvSpPr>
          <a:spLocks noChangeShapeType="1"/>
        </xdr:cNvSpPr>
      </xdr:nvSpPr>
      <xdr:spPr bwMode="auto">
        <a:xfrm>
          <a:off x="6286500" y="3848100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19</xdr:row>
      <xdr:rowOff>104775</xdr:rowOff>
    </xdr:from>
    <xdr:to>
      <xdr:col>11</xdr:col>
      <xdr:colOff>466725</xdr:colOff>
      <xdr:row>20</xdr:row>
      <xdr:rowOff>38100</xdr:rowOff>
    </xdr:to>
    <xdr:sp macro="" textlink="">
      <xdr:nvSpPr>
        <xdr:cNvPr id="85517" name="Line 525">
          <a:extLst>
            <a:ext uri="{FF2B5EF4-FFF2-40B4-BE49-F238E27FC236}">
              <a16:creationId xmlns:a16="http://schemas.microsoft.com/office/drawing/2014/main" id="{390C2C8D-6EDD-4F69-9351-1FF216E65ADF}"/>
            </a:ext>
          </a:extLst>
        </xdr:cNvPr>
        <xdr:cNvSpPr>
          <a:spLocks noChangeShapeType="1"/>
        </xdr:cNvSpPr>
      </xdr:nvSpPr>
      <xdr:spPr bwMode="auto">
        <a:xfrm>
          <a:off x="7172325" y="3724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20</xdr:row>
      <xdr:rowOff>38100</xdr:rowOff>
    </xdr:from>
    <xdr:to>
      <xdr:col>11</xdr:col>
      <xdr:colOff>466725</xdr:colOff>
      <xdr:row>20</xdr:row>
      <xdr:rowOff>161925</xdr:rowOff>
    </xdr:to>
    <xdr:sp macro="" textlink="">
      <xdr:nvSpPr>
        <xdr:cNvPr id="85516" name="Rectangle 524">
          <a:extLst>
            <a:ext uri="{FF2B5EF4-FFF2-40B4-BE49-F238E27FC236}">
              <a16:creationId xmlns:a16="http://schemas.microsoft.com/office/drawing/2014/main" id="{C3B60A69-0750-4B46-9E7B-74A4610B7E64}"/>
            </a:ext>
          </a:extLst>
        </xdr:cNvPr>
        <xdr:cNvSpPr>
          <a:spLocks noChangeArrowheads="1"/>
        </xdr:cNvSpPr>
      </xdr:nvSpPr>
      <xdr:spPr bwMode="auto">
        <a:xfrm>
          <a:off x="381000" y="3848100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20</xdr:row>
      <xdr:rowOff>38100</xdr:rowOff>
    </xdr:from>
    <xdr:to>
      <xdr:col>4</xdr:col>
      <xdr:colOff>381000</xdr:colOff>
      <xdr:row>20</xdr:row>
      <xdr:rowOff>161925</xdr:rowOff>
    </xdr:to>
    <xdr:sp macro="" textlink="">
      <xdr:nvSpPr>
        <xdr:cNvPr id="85515" name="Rectangle 523">
          <a:extLst>
            <a:ext uri="{FF2B5EF4-FFF2-40B4-BE49-F238E27FC236}">
              <a16:creationId xmlns:a16="http://schemas.microsoft.com/office/drawing/2014/main" id="{8400E1A4-E079-475D-9411-82E65B16CD43}"/>
            </a:ext>
          </a:extLst>
        </xdr:cNvPr>
        <xdr:cNvSpPr>
          <a:spLocks noChangeArrowheads="1"/>
        </xdr:cNvSpPr>
      </xdr:nvSpPr>
      <xdr:spPr bwMode="auto">
        <a:xfrm>
          <a:off x="381000" y="3848100"/>
          <a:ext cx="2438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Zatrudnienie wspierane</a:t>
          </a:r>
        </a:p>
      </xdr:txBody>
    </xdr:sp>
    <xdr:clientData/>
  </xdr:twoCellAnchor>
  <xdr:twoCellAnchor>
    <xdr:from>
      <xdr:col>0</xdr:col>
      <xdr:colOff>381000</xdr:colOff>
      <xdr:row>20</xdr:row>
      <xdr:rowOff>38100</xdr:rowOff>
    </xdr:from>
    <xdr:to>
      <xdr:col>0</xdr:col>
      <xdr:colOff>381000</xdr:colOff>
      <xdr:row>20</xdr:row>
      <xdr:rowOff>171450</xdr:rowOff>
    </xdr:to>
    <xdr:sp macro="" textlink="">
      <xdr:nvSpPr>
        <xdr:cNvPr id="85514" name="Line 522">
          <a:extLst>
            <a:ext uri="{FF2B5EF4-FFF2-40B4-BE49-F238E27FC236}">
              <a16:creationId xmlns:a16="http://schemas.microsoft.com/office/drawing/2014/main" id="{22E2C46A-3E21-4A7C-BEF1-4337814F89C5}"/>
            </a:ext>
          </a:extLst>
        </xdr:cNvPr>
        <xdr:cNvSpPr>
          <a:spLocks noChangeShapeType="1"/>
        </xdr:cNvSpPr>
      </xdr:nvSpPr>
      <xdr:spPr bwMode="auto">
        <a:xfrm>
          <a:off x="381000" y="3848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20</xdr:row>
      <xdr:rowOff>161925</xdr:rowOff>
    </xdr:from>
    <xdr:to>
      <xdr:col>4</xdr:col>
      <xdr:colOff>381000</xdr:colOff>
      <xdr:row>20</xdr:row>
      <xdr:rowOff>161925</xdr:rowOff>
    </xdr:to>
    <xdr:sp macro="" textlink="">
      <xdr:nvSpPr>
        <xdr:cNvPr id="85513" name="Line 521">
          <a:extLst>
            <a:ext uri="{FF2B5EF4-FFF2-40B4-BE49-F238E27FC236}">
              <a16:creationId xmlns:a16="http://schemas.microsoft.com/office/drawing/2014/main" id="{44EA0426-B317-4115-84E6-7AF65AC237F6}"/>
            </a:ext>
          </a:extLst>
        </xdr:cNvPr>
        <xdr:cNvSpPr>
          <a:spLocks noChangeShapeType="1"/>
        </xdr:cNvSpPr>
      </xdr:nvSpPr>
      <xdr:spPr bwMode="auto">
        <a:xfrm>
          <a:off x="381000" y="397192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20</xdr:row>
      <xdr:rowOff>38100</xdr:rowOff>
    </xdr:from>
    <xdr:to>
      <xdr:col>4</xdr:col>
      <xdr:colOff>381000</xdr:colOff>
      <xdr:row>20</xdr:row>
      <xdr:rowOff>171450</xdr:rowOff>
    </xdr:to>
    <xdr:sp macro="" textlink="">
      <xdr:nvSpPr>
        <xdr:cNvPr id="85512" name="Line 520">
          <a:extLst>
            <a:ext uri="{FF2B5EF4-FFF2-40B4-BE49-F238E27FC236}">
              <a16:creationId xmlns:a16="http://schemas.microsoft.com/office/drawing/2014/main" id="{B94719ED-0DFA-44F9-A33F-91DB102EE176}"/>
            </a:ext>
          </a:extLst>
        </xdr:cNvPr>
        <xdr:cNvSpPr>
          <a:spLocks noChangeShapeType="1"/>
        </xdr:cNvSpPr>
      </xdr:nvSpPr>
      <xdr:spPr bwMode="auto">
        <a:xfrm>
          <a:off x="2819400" y="3848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20</xdr:row>
      <xdr:rowOff>38100</xdr:rowOff>
    </xdr:from>
    <xdr:to>
      <xdr:col>5</xdr:col>
      <xdr:colOff>180975</xdr:colOff>
      <xdr:row>20</xdr:row>
      <xdr:rowOff>161925</xdr:rowOff>
    </xdr:to>
    <xdr:sp macro="" textlink="">
      <xdr:nvSpPr>
        <xdr:cNvPr id="85511" name="Rectangle 519">
          <a:extLst>
            <a:ext uri="{FF2B5EF4-FFF2-40B4-BE49-F238E27FC236}">
              <a16:creationId xmlns:a16="http://schemas.microsoft.com/office/drawing/2014/main" id="{2A49075A-53B8-4E73-A699-5F2B3896B843}"/>
            </a:ext>
          </a:extLst>
        </xdr:cNvPr>
        <xdr:cNvSpPr>
          <a:spLocks noChangeArrowheads="1"/>
        </xdr:cNvSpPr>
      </xdr:nvSpPr>
      <xdr:spPr bwMode="auto">
        <a:xfrm>
          <a:off x="2819400" y="3848100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08</a:t>
          </a:r>
        </a:p>
      </xdr:txBody>
    </xdr:sp>
    <xdr:clientData/>
  </xdr:twoCellAnchor>
  <xdr:twoCellAnchor>
    <xdr:from>
      <xdr:col>4</xdr:col>
      <xdr:colOff>381000</xdr:colOff>
      <xdr:row>20</xdr:row>
      <xdr:rowOff>161925</xdr:rowOff>
    </xdr:from>
    <xdr:to>
      <xdr:col>5</xdr:col>
      <xdr:colOff>180975</xdr:colOff>
      <xdr:row>20</xdr:row>
      <xdr:rowOff>161925</xdr:rowOff>
    </xdr:to>
    <xdr:sp macro="" textlink="">
      <xdr:nvSpPr>
        <xdr:cNvPr id="85510" name="Line 518">
          <a:extLst>
            <a:ext uri="{FF2B5EF4-FFF2-40B4-BE49-F238E27FC236}">
              <a16:creationId xmlns:a16="http://schemas.microsoft.com/office/drawing/2014/main" id="{0358F0B7-C408-43DD-92C6-A6D9E02B4CB5}"/>
            </a:ext>
          </a:extLst>
        </xdr:cNvPr>
        <xdr:cNvSpPr>
          <a:spLocks noChangeShapeType="1"/>
        </xdr:cNvSpPr>
      </xdr:nvSpPr>
      <xdr:spPr bwMode="auto">
        <a:xfrm>
          <a:off x="2819400" y="397192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20</xdr:row>
      <xdr:rowOff>38100</xdr:rowOff>
    </xdr:from>
    <xdr:to>
      <xdr:col>5</xdr:col>
      <xdr:colOff>180975</xdr:colOff>
      <xdr:row>20</xdr:row>
      <xdr:rowOff>171450</xdr:rowOff>
    </xdr:to>
    <xdr:sp macro="" textlink="">
      <xdr:nvSpPr>
        <xdr:cNvPr id="85509" name="Line 517">
          <a:extLst>
            <a:ext uri="{FF2B5EF4-FFF2-40B4-BE49-F238E27FC236}">
              <a16:creationId xmlns:a16="http://schemas.microsoft.com/office/drawing/2014/main" id="{ADD6BC9D-00C5-4C8F-B11B-1E8DD650D9D3}"/>
            </a:ext>
          </a:extLst>
        </xdr:cNvPr>
        <xdr:cNvSpPr>
          <a:spLocks noChangeShapeType="1"/>
        </xdr:cNvSpPr>
      </xdr:nvSpPr>
      <xdr:spPr bwMode="auto">
        <a:xfrm>
          <a:off x="3228975" y="3848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20</xdr:row>
      <xdr:rowOff>161925</xdr:rowOff>
    </xdr:from>
    <xdr:to>
      <xdr:col>7</xdr:col>
      <xdr:colOff>257175</xdr:colOff>
      <xdr:row>20</xdr:row>
      <xdr:rowOff>161925</xdr:rowOff>
    </xdr:to>
    <xdr:sp macro="" textlink="">
      <xdr:nvSpPr>
        <xdr:cNvPr id="85507" name="Line 515">
          <a:extLst>
            <a:ext uri="{FF2B5EF4-FFF2-40B4-BE49-F238E27FC236}">
              <a16:creationId xmlns:a16="http://schemas.microsoft.com/office/drawing/2014/main" id="{E49FA826-6A20-46BB-B080-9DF6653DE1FC}"/>
            </a:ext>
          </a:extLst>
        </xdr:cNvPr>
        <xdr:cNvSpPr>
          <a:spLocks noChangeShapeType="1"/>
        </xdr:cNvSpPr>
      </xdr:nvSpPr>
      <xdr:spPr bwMode="auto">
        <a:xfrm>
          <a:off x="3228975" y="397192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20</xdr:row>
      <xdr:rowOff>38100</xdr:rowOff>
    </xdr:from>
    <xdr:to>
      <xdr:col>7</xdr:col>
      <xdr:colOff>257175</xdr:colOff>
      <xdr:row>20</xdr:row>
      <xdr:rowOff>171450</xdr:rowOff>
    </xdr:to>
    <xdr:sp macro="" textlink="">
      <xdr:nvSpPr>
        <xdr:cNvPr id="85506" name="Line 514">
          <a:extLst>
            <a:ext uri="{FF2B5EF4-FFF2-40B4-BE49-F238E27FC236}">
              <a16:creationId xmlns:a16="http://schemas.microsoft.com/office/drawing/2014/main" id="{519E1B87-D257-4C18-8333-D10D16CD714A}"/>
            </a:ext>
          </a:extLst>
        </xdr:cNvPr>
        <xdr:cNvSpPr>
          <a:spLocks noChangeShapeType="1"/>
        </xdr:cNvSpPr>
      </xdr:nvSpPr>
      <xdr:spPr bwMode="auto">
        <a:xfrm>
          <a:off x="4524375" y="3848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20</xdr:row>
      <xdr:rowOff>161925</xdr:rowOff>
    </xdr:from>
    <xdr:to>
      <xdr:col>8</xdr:col>
      <xdr:colOff>523875</xdr:colOff>
      <xdr:row>20</xdr:row>
      <xdr:rowOff>161925</xdr:rowOff>
    </xdr:to>
    <xdr:sp macro="" textlink="">
      <xdr:nvSpPr>
        <xdr:cNvPr id="85504" name="Line 512">
          <a:extLst>
            <a:ext uri="{FF2B5EF4-FFF2-40B4-BE49-F238E27FC236}">
              <a16:creationId xmlns:a16="http://schemas.microsoft.com/office/drawing/2014/main" id="{D96807C6-9C4C-4A46-874A-1E872FAB9FA8}"/>
            </a:ext>
          </a:extLst>
        </xdr:cNvPr>
        <xdr:cNvSpPr>
          <a:spLocks noChangeShapeType="1"/>
        </xdr:cNvSpPr>
      </xdr:nvSpPr>
      <xdr:spPr bwMode="auto">
        <a:xfrm>
          <a:off x="4524375" y="397192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20</xdr:row>
      <xdr:rowOff>38100</xdr:rowOff>
    </xdr:from>
    <xdr:to>
      <xdr:col>8</xdr:col>
      <xdr:colOff>523875</xdr:colOff>
      <xdr:row>20</xdr:row>
      <xdr:rowOff>171450</xdr:rowOff>
    </xdr:to>
    <xdr:sp macro="" textlink="">
      <xdr:nvSpPr>
        <xdr:cNvPr id="85503" name="Line 511">
          <a:extLst>
            <a:ext uri="{FF2B5EF4-FFF2-40B4-BE49-F238E27FC236}">
              <a16:creationId xmlns:a16="http://schemas.microsoft.com/office/drawing/2014/main" id="{89D8A852-AD73-4288-ACC7-C6EAE16FB3F3}"/>
            </a:ext>
          </a:extLst>
        </xdr:cNvPr>
        <xdr:cNvSpPr>
          <a:spLocks noChangeShapeType="1"/>
        </xdr:cNvSpPr>
      </xdr:nvSpPr>
      <xdr:spPr bwMode="auto">
        <a:xfrm>
          <a:off x="5400675" y="3848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20</xdr:row>
      <xdr:rowOff>161925</xdr:rowOff>
    </xdr:from>
    <xdr:to>
      <xdr:col>10</xdr:col>
      <xdr:colOff>190500</xdr:colOff>
      <xdr:row>20</xdr:row>
      <xdr:rowOff>161925</xdr:rowOff>
    </xdr:to>
    <xdr:sp macro="" textlink="">
      <xdr:nvSpPr>
        <xdr:cNvPr id="85501" name="Line 509">
          <a:extLst>
            <a:ext uri="{FF2B5EF4-FFF2-40B4-BE49-F238E27FC236}">
              <a16:creationId xmlns:a16="http://schemas.microsoft.com/office/drawing/2014/main" id="{BEC02570-DAC7-4013-A3F3-440D97039D50}"/>
            </a:ext>
          </a:extLst>
        </xdr:cNvPr>
        <xdr:cNvSpPr>
          <a:spLocks noChangeShapeType="1"/>
        </xdr:cNvSpPr>
      </xdr:nvSpPr>
      <xdr:spPr bwMode="auto">
        <a:xfrm>
          <a:off x="5400675" y="397192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20</xdr:row>
      <xdr:rowOff>38100</xdr:rowOff>
    </xdr:from>
    <xdr:to>
      <xdr:col>10</xdr:col>
      <xdr:colOff>190500</xdr:colOff>
      <xdr:row>20</xdr:row>
      <xdr:rowOff>171450</xdr:rowOff>
    </xdr:to>
    <xdr:sp macro="" textlink="">
      <xdr:nvSpPr>
        <xdr:cNvPr id="85500" name="Line 508">
          <a:extLst>
            <a:ext uri="{FF2B5EF4-FFF2-40B4-BE49-F238E27FC236}">
              <a16:creationId xmlns:a16="http://schemas.microsoft.com/office/drawing/2014/main" id="{4B55C430-7C63-4B1C-80F0-14B4F2475129}"/>
            </a:ext>
          </a:extLst>
        </xdr:cNvPr>
        <xdr:cNvSpPr>
          <a:spLocks noChangeShapeType="1"/>
        </xdr:cNvSpPr>
      </xdr:nvSpPr>
      <xdr:spPr bwMode="auto">
        <a:xfrm>
          <a:off x="6286500" y="3848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20</xdr:row>
      <xdr:rowOff>161925</xdr:rowOff>
    </xdr:from>
    <xdr:to>
      <xdr:col>11</xdr:col>
      <xdr:colOff>476250</xdr:colOff>
      <xdr:row>20</xdr:row>
      <xdr:rowOff>161925</xdr:rowOff>
    </xdr:to>
    <xdr:sp macro="" textlink="">
      <xdr:nvSpPr>
        <xdr:cNvPr id="85498" name="Line 506">
          <a:extLst>
            <a:ext uri="{FF2B5EF4-FFF2-40B4-BE49-F238E27FC236}">
              <a16:creationId xmlns:a16="http://schemas.microsoft.com/office/drawing/2014/main" id="{BA669E6D-F55D-4B5C-AFDE-4AC7C41C5F45}"/>
            </a:ext>
          </a:extLst>
        </xdr:cNvPr>
        <xdr:cNvSpPr>
          <a:spLocks noChangeShapeType="1"/>
        </xdr:cNvSpPr>
      </xdr:nvSpPr>
      <xdr:spPr bwMode="auto">
        <a:xfrm>
          <a:off x="6286500" y="397192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20</xdr:row>
      <xdr:rowOff>38100</xdr:rowOff>
    </xdr:from>
    <xdr:to>
      <xdr:col>11</xdr:col>
      <xdr:colOff>466725</xdr:colOff>
      <xdr:row>20</xdr:row>
      <xdr:rowOff>171450</xdr:rowOff>
    </xdr:to>
    <xdr:sp macro="" textlink="">
      <xdr:nvSpPr>
        <xdr:cNvPr id="85497" name="Line 505">
          <a:extLst>
            <a:ext uri="{FF2B5EF4-FFF2-40B4-BE49-F238E27FC236}">
              <a16:creationId xmlns:a16="http://schemas.microsoft.com/office/drawing/2014/main" id="{60574D98-253E-4E62-B88C-55955B980590}"/>
            </a:ext>
          </a:extLst>
        </xdr:cNvPr>
        <xdr:cNvSpPr>
          <a:spLocks noChangeShapeType="1"/>
        </xdr:cNvSpPr>
      </xdr:nvSpPr>
      <xdr:spPr bwMode="auto">
        <a:xfrm>
          <a:off x="7172325" y="3848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20</xdr:row>
      <xdr:rowOff>161925</xdr:rowOff>
    </xdr:from>
    <xdr:to>
      <xdr:col>11</xdr:col>
      <xdr:colOff>466725</xdr:colOff>
      <xdr:row>21</xdr:row>
      <xdr:rowOff>95250</xdr:rowOff>
    </xdr:to>
    <xdr:sp macro="" textlink="">
      <xdr:nvSpPr>
        <xdr:cNvPr id="85496" name="Rectangle 504">
          <a:extLst>
            <a:ext uri="{FF2B5EF4-FFF2-40B4-BE49-F238E27FC236}">
              <a16:creationId xmlns:a16="http://schemas.microsoft.com/office/drawing/2014/main" id="{61902900-F813-4041-9A35-46F845FC251C}"/>
            </a:ext>
          </a:extLst>
        </xdr:cNvPr>
        <xdr:cNvSpPr>
          <a:spLocks noChangeArrowheads="1"/>
        </xdr:cNvSpPr>
      </xdr:nvSpPr>
      <xdr:spPr bwMode="auto">
        <a:xfrm>
          <a:off x="381000" y="3971925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20</xdr:row>
      <xdr:rowOff>161925</xdr:rowOff>
    </xdr:from>
    <xdr:to>
      <xdr:col>4</xdr:col>
      <xdr:colOff>381000</xdr:colOff>
      <xdr:row>21</xdr:row>
      <xdr:rowOff>95250</xdr:rowOff>
    </xdr:to>
    <xdr:sp macro="" textlink="">
      <xdr:nvSpPr>
        <xdr:cNvPr id="85495" name="Rectangle 503">
          <a:extLst>
            <a:ext uri="{FF2B5EF4-FFF2-40B4-BE49-F238E27FC236}">
              <a16:creationId xmlns:a16="http://schemas.microsoft.com/office/drawing/2014/main" id="{5A2D4FE6-30C1-453D-AA04-2626B7C4FDA2}"/>
            </a:ext>
          </a:extLst>
        </xdr:cNvPr>
        <xdr:cNvSpPr>
          <a:spLocks noChangeArrowheads="1"/>
        </xdr:cNvSpPr>
      </xdr:nvSpPr>
      <xdr:spPr bwMode="auto">
        <a:xfrm>
          <a:off x="381000" y="3971925"/>
          <a:ext cx="2438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Przygotowanie zawodowe dorosłych</a:t>
          </a:r>
        </a:p>
      </xdr:txBody>
    </xdr:sp>
    <xdr:clientData/>
  </xdr:twoCellAnchor>
  <xdr:twoCellAnchor>
    <xdr:from>
      <xdr:col>0</xdr:col>
      <xdr:colOff>381000</xdr:colOff>
      <xdr:row>20</xdr:row>
      <xdr:rowOff>161925</xdr:rowOff>
    </xdr:from>
    <xdr:to>
      <xdr:col>0</xdr:col>
      <xdr:colOff>381000</xdr:colOff>
      <xdr:row>21</xdr:row>
      <xdr:rowOff>104775</xdr:rowOff>
    </xdr:to>
    <xdr:sp macro="" textlink="">
      <xdr:nvSpPr>
        <xdr:cNvPr id="85494" name="Line 502">
          <a:extLst>
            <a:ext uri="{FF2B5EF4-FFF2-40B4-BE49-F238E27FC236}">
              <a16:creationId xmlns:a16="http://schemas.microsoft.com/office/drawing/2014/main" id="{FF3551BA-E530-437A-A453-52DA83A1E268}"/>
            </a:ext>
          </a:extLst>
        </xdr:cNvPr>
        <xdr:cNvSpPr>
          <a:spLocks noChangeShapeType="1"/>
        </xdr:cNvSpPr>
      </xdr:nvSpPr>
      <xdr:spPr bwMode="auto">
        <a:xfrm>
          <a:off x="381000" y="3971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21</xdr:row>
      <xdr:rowOff>104775</xdr:rowOff>
    </xdr:from>
    <xdr:to>
      <xdr:col>4</xdr:col>
      <xdr:colOff>381000</xdr:colOff>
      <xdr:row>21</xdr:row>
      <xdr:rowOff>104775</xdr:rowOff>
    </xdr:to>
    <xdr:sp macro="" textlink="">
      <xdr:nvSpPr>
        <xdr:cNvPr id="85493" name="Line 501">
          <a:extLst>
            <a:ext uri="{FF2B5EF4-FFF2-40B4-BE49-F238E27FC236}">
              <a16:creationId xmlns:a16="http://schemas.microsoft.com/office/drawing/2014/main" id="{9925FCD2-CE45-4BCD-BD71-14031F771B2F}"/>
            </a:ext>
          </a:extLst>
        </xdr:cNvPr>
        <xdr:cNvSpPr>
          <a:spLocks noChangeShapeType="1"/>
        </xdr:cNvSpPr>
      </xdr:nvSpPr>
      <xdr:spPr bwMode="auto">
        <a:xfrm>
          <a:off x="381000" y="410527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20</xdr:row>
      <xdr:rowOff>161925</xdr:rowOff>
    </xdr:from>
    <xdr:to>
      <xdr:col>4</xdr:col>
      <xdr:colOff>381000</xdr:colOff>
      <xdr:row>21</xdr:row>
      <xdr:rowOff>104775</xdr:rowOff>
    </xdr:to>
    <xdr:sp macro="" textlink="">
      <xdr:nvSpPr>
        <xdr:cNvPr id="85492" name="Line 500">
          <a:extLst>
            <a:ext uri="{FF2B5EF4-FFF2-40B4-BE49-F238E27FC236}">
              <a16:creationId xmlns:a16="http://schemas.microsoft.com/office/drawing/2014/main" id="{A4B213DD-A00A-4AB0-9F01-46EA5BD4DDD1}"/>
            </a:ext>
          </a:extLst>
        </xdr:cNvPr>
        <xdr:cNvSpPr>
          <a:spLocks noChangeShapeType="1"/>
        </xdr:cNvSpPr>
      </xdr:nvSpPr>
      <xdr:spPr bwMode="auto">
        <a:xfrm>
          <a:off x="2819400" y="3971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20</xdr:row>
      <xdr:rowOff>161925</xdr:rowOff>
    </xdr:from>
    <xdr:to>
      <xdr:col>5</xdr:col>
      <xdr:colOff>180975</xdr:colOff>
      <xdr:row>21</xdr:row>
      <xdr:rowOff>95250</xdr:rowOff>
    </xdr:to>
    <xdr:sp macro="" textlink="">
      <xdr:nvSpPr>
        <xdr:cNvPr id="85491" name="Rectangle 499">
          <a:extLst>
            <a:ext uri="{FF2B5EF4-FFF2-40B4-BE49-F238E27FC236}">
              <a16:creationId xmlns:a16="http://schemas.microsoft.com/office/drawing/2014/main" id="{F08B7F75-3A5B-466F-89FA-804B90253D4B}"/>
            </a:ext>
          </a:extLst>
        </xdr:cNvPr>
        <xdr:cNvSpPr>
          <a:spLocks noChangeArrowheads="1"/>
        </xdr:cNvSpPr>
      </xdr:nvSpPr>
      <xdr:spPr bwMode="auto">
        <a:xfrm>
          <a:off x="2819400" y="3971925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09</a:t>
          </a:r>
        </a:p>
      </xdr:txBody>
    </xdr:sp>
    <xdr:clientData/>
  </xdr:twoCellAnchor>
  <xdr:twoCellAnchor>
    <xdr:from>
      <xdr:col>4</xdr:col>
      <xdr:colOff>381000</xdr:colOff>
      <xdr:row>21</xdr:row>
      <xdr:rowOff>104775</xdr:rowOff>
    </xdr:from>
    <xdr:to>
      <xdr:col>5</xdr:col>
      <xdr:colOff>180975</xdr:colOff>
      <xdr:row>21</xdr:row>
      <xdr:rowOff>104775</xdr:rowOff>
    </xdr:to>
    <xdr:sp macro="" textlink="">
      <xdr:nvSpPr>
        <xdr:cNvPr id="85490" name="Line 498">
          <a:extLst>
            <a:ext uri="{FF2B5EF4-FFF2-40B4-BE49-F238E27FC236}">
              <a16:creationId xmlns:a16="http://schemas.microsoft.com/office/drawing/2014/main" id="{B5FBBF3E-30B4-4CA4-A6CE-CA18BB7B565D}"/>
            </a:ext>
          </a:extLst>
        </xdr:cNvPr>
        <xdr:cNvSpPr>
          <a:spLocks noChangeShapeType="1"/>
        </xdr:cNvSpPr>
      </xdr:nvSpPr>
      <xdr:spPr bwMode="auto">
        <a:xfrm>
          <a:off x="2819400" y="410527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20</xdr:row>
      <xdr:rowOff>161925</xdr:rowOff>
    </xdr:from>
    <xdr:to>
      <xdr:col>5</xdr:col>
      <xdr:colOff>180975</xdr:colOff>
      <xdr:row>21</xdr:row>
      <xdr:rowOff>104775</xdr:rowOff>
    </xdr:to>
    <xdr:sp macro="" textlink="">
      <xdr:nvSpPr>
        <xdr:cNvPr id="85489" name="Line 497">
          <a:extLst>
            <a:ext uri="{FF2B5EF4-FFF2-40B4-BE49-F238E27FC236}">
              <a16:creationId xmlns:a16="http://schemas.microsoft.com/office/drawing/2014/main" id="{DA840F32-C13D-4099-822E-0FD97243602E}"/>
            </a:ext>
          </a:extLst>
        </xdr:cNvPr>
        <xdr:cNvSpPr>
          <a:spLocks noChangeShapeType="1"/>
        </xdr:cNvSpPr>
      </xdr:nvSpPr>
      <xdr:spPr bwMode="auto">
        <a:xfrm>
          <a:off x="3228975" y="3971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21</xdr:row>
      <xdr:rowOff>104775</xdr:rowOff>
    </xdr:from>
    <xdr:to>
      <xdr:col>7</xdr:col>
      <xdr:colOff>257175</xdr:colOff>
      <xdr:row>21</xdr:row>
      <xdr:rowOff>104775</xdr:rowOff>
    </xdr:to>
    <xdr:sp macro="" textlink="">
      <xdr:nvSpPr>
        <xdr:cNvPr id="85487" name="Line 495">
          <a:extLst>
            <a:ext uri="{FF2B5EF4-FFF2-40B4-BE49-F238E27FC236}">
              <a16:creationId xmlns:a16="http://schemas.microsoft.com/office/drawing/2014/main" id="{38A26833-446F-4725-85CD-7EABB6496D60}"/>
            </a:ext>
          </a:extLst>
        </xdr:cNvPr>
        <xdr:cNvSpPr>
          <a:spLocks noChangeShapeType="1"/>
        </xdr:cNvSpPr>
      </xdr:nvSpPr>
      <xdr:spPr bwMode="auto">
        <a:xfrm>
          <a:off x="3228975" y="410527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20</xdr:row>
      <xdr:rowOff>161925</xdr:rowOff>
    </xdr:from>
    <xdr:to>
      <xdr:col>7</xdr:col>
      <xdr:colOff>257175</xdr:colOff>
      <xdr:row>21</xdr:row>
      <xdr:rowOff>104775</xdr:rowOff>
    </xdr:to>
    <xdr:sp macro="" textlink="">
      <xdr:nvSpPr>
        <xdr:cNvPr id="85486" name="Line 494">
          <a:extLst>
            <a:ext uri="{FF2B5EF4-FFF2-40B4-BE49-F238E27FC236}">
              <a16:creationId xmlns:a16="http://schemas.microsoft.com/office/drawing/2014/main" id="{5194721C-403A-4C03-BCF4-5DC7FA3F0DA6}"/>
            </a:ext>
          </a:extLst>
        </xdr:cNvPr>
        <xdr:cNvSpPr>
          <a:spLocks noChangeShapeType="1"/>
        </xdr:cNvSpPr>
      </xdr:nvSpPr>
      <xdr:spPr bwMode="auto">
        <a:xfrm>
          <a:off x="4524375" y="3971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21</xdr:row>
      <xdr:rowOff>104775</xdr:rowOff>
    </xdr:from>
    <xdr:to>
      <xdr:col>8</xdr:col>
      <xdr:colOff>523875</xdr:colOff>
      <xdr:row>21</xdr:row>
      <xdr:rowOff>104775</xdr:rowOff>
    </xdr:to>
    <xdr:sp macro="" textlink="">
      <xdr:nvSpPr>
        <xdr:cNvPr id="85484" name="Line 492">
          <a:extLst>
            <a:ext uri="{FF2B5EF4-FFF2-40B4-BE49-F238E27FC236}">
              <a16:creationId xmlns:a16="http://schemas.microsoft.com/office/drawing/2014/main" id="{9ADEA6D9-B28C-4529-B179-5744011EF565}"/>
            </a:ext>
          </a:extLst>
        </xdr:cNvPr>
        <xdr:cNvSpPr>
          <a:spLocks noChangeShapeType="1"/>
        </xdr:cNvSpPr>
      </xdr:nvSpPr>
      <xdr:spPr bwMode="auto">
        <a:xfrm>
          <a:off x="4524375" y="410527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20</xdr:row>
      <xdr:rowOff>161925</xdr:rowOff>
    </xdr:from>
    <xdr:to>
      <xdr:col>8</xdr:col>
      <xdr:colOff>523875</xdr:colOff>
      <xdr:row>21</xdr:row>
      <xdr:rowOff>104775</xdr:rowOff>
    </xdr:to>
    <xdr:sp macro="" textlink="">
      <xdr:nvSpPr>
        <xdr:cNvPr id="85483" name="Line 491">
          <a:extLst>
            <a:ext uri="{FF2B5EF4-FFF2-40B4-BE49-F238E27FC236}">
              <a16:creationId xmlns:a16="http://schemas.microsoft.com/office/drawing/2014/main" id="{76FF3A92-A816-403E-A7B6-B01762E8728B}"/>
            </a:ext>
          </a:extLst>
        </xdr:cNvPr>
        <xdr:cNvSpPr>
          <a:spLocks noChangeShapeType="1"/>
        </xdr:cNvSpPr>
      </xdr:nvSpPr>
      <xdr:spPr bwMode="auto">
        <a:xfrm>
          <a:off x="5400675" y="3971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21</xdr:row>
      <xdr:rowOff>104775</xdr:rowOff>
    </xdr:from>
    <xdr:to>
      <xdr:col>10</xdr:col>
      <xdr:colOff>190500</xdr:colOff>
      <xdr:row>21</xdr:row>
      <xdr:rowOff>104775</xdr:rowOff>
    </xdr:to>
    <xdr:sp macro="" textlink="">
      <xdr:nvSpPr>
        <xdr:cNvPr id="85481" name="Line 489">
          <a:extLst>
            <a:ext uri="{FF2B5EF4-FFF2-40B4-BE49-F238E27FC236}">
              <a16:creationId xmlns:a16="http://schemas.microsoft.com/office/drawing/2014/main" id="{00F292AD-2DE1-4888-ACE5-BF716C2D557F}"/>
            </a:ext>
          </a:extLst>
        </xdr:cNvPr>
        <xdr:cNvSpPr>
          <a:spLocks noChangeShapeType="1"/>
        </xdr:cNvSpPr>
      </xdr:nvSpPr>
      <xdr:spPr bwMode="auto">
        <a:xfrm>
          <a:off x="5400675" y="410527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20</xdr:row>
      <xdr:rowOff>161925</xdr:rowOff>
    </xdr:from>
    <xdr:to>
      <xdr:col>10</xdr:col>
      <xdr:colOff>190500</xdr:colOff>
      <xdr:row>21</xdr:row>
      <xdr:rowOff>104775</xdr:rowOff>
    </xdr:to>
    <xdr:sp macro="" textlink="">
      <xdr:nvSpPr>
        <xdr:cNvPr id="85480" name="Line 488">
          <a:extLst>
            <a:ext uri="{FF2B5EF4-FFF2-40B4-BE49-F238E27FC236}">
              <a16:creationId xmlns:a16="http://schemas.microsoft.com/office/drawing/2014/main" id="{5CA14026-BC05-4CA0-9489-B37F2FCDA46F}"/>
            </a:ext>
          </a:extLst>
        </xdr:cNvPr>
        <xdr:cNvSpPr>
          <a:spLocks noChangeShapeType="1"/>
        </xdr:cNvSpPr>
      </xdr:nvSpPr>
      <xdr:spPr bwMode="auto">
        <a:xfrm>
          <a:off x="6286500" y="3971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21</xdr:row>
      <xdr:rowOff>104775</xdr:rowOff>
    </xdr:from>
    <xdr:to>
      <xdr:col>11</xdr:col>
      <xdr:colOff>476250</xdr:colOff>
      <xdr:row>21</xdr:row>
      <xdr:rowOff>104775</xdr:rowOff>
    </xdr:to>
    <xdr:sp macro="" textlink="">
      <xdr:nvSpPr>
        <xdr:cNvPr id="85478" name="Line 486">
          <a:extLst>
            <a:ext uri="{FF2B5EF4-FFF2-40B4-BE49-F238E27FC236}">
              <a16:creationId xmlns:a16="http://schemas.microsoft.com/office/drawing/2014/main" id="{2D378778-D17B-4A7D-A303-3AAB03F82376}"/>
            </a:ext>
          </a:extLst>
        </xdr:cNvPr>
        <xdr:cNvSpPr>
          <a:spLocks noChangeShapeType="1"/>
        </xdr:cNvSpPr>
      </xdr:nvSpPr>
      <xdr:spPr bwMode="auto">
        <a:xfrm>
          <a:off x="6286500" y="410527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20</xdr:row>
      <xdr:rowOff>161925</xdr:rowOff>
    </xdr:from>
    <xdr:to>
      <xdr:col>11</xdr:col>
      <xdr:colOff>466725</xdr:colOff>
      <xdr:row>21</xdr:row>
      <xdr:rowOff>104775</xdr:rowOff>
    </xdr:to>
    <xdr:sp macro="" textlink="">
      <xdr:nvSpPr>
        <xdr:cNvPr id="85477" name="Line 485">
          <a:extLst>
            <a:ext uri="{FF2B5EF4-FFF2-40B4-BE49-F238E27FC236}">
              <a16:creationId xmlns:a16="http://schemas.microsoft.com/office/drawing/2014/main" id="{CBD89A63-1576-41B4-9F98-8A93157BFEDF}"/>
            </a:ext>
          </a:extLst>
        </xdr:cNvPr>
        <xdr:cNvSpPr>
          <a:spLocks noChangeShapeType="1"/>
        </xdr:cNvSpPr>
      </xdr:nvSpPr>
      <xdr:spPr bwMode="auto">
        <a:xfrm>
          <a:off x="7172325" y="3971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21</xdr:row>
      <xdr:rowOff>104775</xdr:rowOff>
    </xdr:from>
    <xdr:to>
      <xdr:col>11</xdr:col>
      <xdr:colOff>466725</xdr:colOff>
      <xdr:row>22</xdr:row>
      <xdr:rowOff>38100</xdr:rowOff>
    </xdr:to>
    <xdr:sp macro="" textlink="">
      <xdr:nvSpPr>
        <xdr:cNvPr id="85476" name="Rectangle 484">
          <a:extLst>
            <a:ext uri="{FF2B5EF4-FFF2-40B4-BE49-F238E27FC236}">
              <a16:creationId xmlns:a16="http://schemas.microsoft.com/office/drawing/2014/main" id="{C3620DAD-E94D-42E4-9150-E7C3AD8647B0}"/>
            </a:ext>
          </a:extLst>
        </xdr:cNvPr>
        <xdr:cNvSpPr>
          <a:spLocks noChangeArrowheads="1"/>
        </xdr:cNvSpPr>
      </xdr:nvSpPr>
      <xdr:spPr bwMode="auto">
        <a:xfrm>
          <a:off x="381000" y="4105275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21</xdr:row>
      <xdr:rowOff>104775</xdr:rowOff>
    </xdr:from>
    <xdr:to>
      <xdr:col>4</xdr:col>
      <xdr:colOff>381000</xdr:colOff>
      <xdr:row>22</xdr:row>
      <xdr:rowOff>38100</xdr:rowOff>
    </xdr:to>
    <xdr:sp macro="" textlink="">
      <xdr:nvSpPr>
        <xdr:cNvPr id="85475" name="Rectangle 483">
          <a:extLst>
            <a:ext uri="{FF2B5EF4-FFF2-40B4-BE49-F238E27FC236}">
              <a16:creationId xmlns:a16="http://schemas.microsoft.com/office/drawing/2014/main" id="{6B304108-5B67-4D54-BE2F-3721A9085805}"/>
            </a:ext>
          </a:extLst>
        </xdr:cNvPr>
        <xdr:cNvSpPr>
          <a:spLocks noChangeArrowheads="1"/>
        </xdr:cNvSpPr>
      </xdr:nvSpPr>
      <xdr:spPr bwMode="auto">
        <a:xfrm>
          <a:off x="381000" y="4105275"/>
          <a:ext cx="2438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Stypendia za okres kontynuowania nauki</a:t>
          </a:r>
        </a:p>
      </xdr:txBody>
    </xdr:sp>
    <xdr:clientData/>
  </xdr:twoCellAnchor>
  <xdr:twoCellAnchor>
    <xdr:from>
      <xdr:col>0</xdr:col>
      <xdr:colOff>381000</xdr:colOff>
      <xdr:row>21</xdr:row>
      <xdr:rowOff>104775</xdr:rowOff>
    </xdr:from>
    <xdr:to>
      <xdr:col>0</xdr:col>
      <xdr:colOff>381000</xdr:colOff>
      <xdr:row>22</xdr:row>
      <xdr:rowOff>38100</xdr:rowOff>
    </xdr:to>
    <xdr:sp macro="" textlink="">
      <xdr:nvSpPr>
        <xdr:cNvPr id="85474" name="Line 482">
          <a:extLst>
            <a:ext uri="{FF2B5EF4-FFF2-40B4-BE49-F238E27FC236}">
              <a16:creationId xmlns:a16="http://schemas.microsoft.com/office/drawing/2014/main" id="{6EBBA4EE-8943-49FF-9E9D-0D14C8166D21}"/>
            </a:ext>
          </a:extLst>
        </xdr:cNvPr>
        <xdr:cNvSpPr>
          <a:spLocks noChangeShapeType="1"/>
        </xdr:cNvSpPr>
      </xdr:nvSpPr>
      <xdr:spPr bwMode="auto">
        <a:xfrm>
          <a:off x="381000" y="4105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22</xdr:row>
      <xdr:rowOff>38100</xdr:rowOff>
    </xdr:from>
    <xdr:to>
      <xdr:col>4</xdr:col>
      <xdr:colOff>381000</xdr:colOff>
      <xdr:row>22</xdr:row>
      <xdr:rowOff>38100</xdr:rowOff>
    </xdr:to>
    <xdr:sp macro="" textlink="">
      <xdr:nvSpPr>
        <xdr:cNvPr id="85473" name="Line 481">
          <a:extLst>
            <a:ext uri="{FF2B5EF4-FFF2-40B4-BE49-F238E27FC236}">
              <a16:creationId xmlns:a16="http://schemas.microsoft.com/office/drawing/2014/main" id="{A9FC3CA2-9FF0-4E80-ACB0-A177FAB1AEF8}"/>
            </a:ext>
          </a:extLst>
        </xdr:cNvPr>
        <xdr:cNvSpPr>
          <a:spLocks noChangeShapeType="1"/>
        </xdr:cNvSpPr>
      </xdr:nvSpPr>
      <xdr:spPr bwMode="auto">
        <a:xfrm>
          <a:off x="381000" y="4229100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21</xdr:row>
      <xdr:rowOff>104775</xdr:rowOff>
    </xdr:from>
    <xdr:to>
      <xdr:col>4</xdr:col>
      <xdr:colOff>381000</xdr:colOff>
      <xdr:row>22</xdr:row>
      <xdr:rowOff>38100</xdr:rowOff>
    </xdr:to>
    <xdr:sp macro="" textlink="">
      <xdr:nvSpPr>
        <xdr:cNvPr id="85472" name="Line 480">
          <a:extLst>
            <a:ext uri="{FF2B5EF4-FFF2-40B4-BE49-F238E27FC236}">
              <a16:creationId xmlns:a16="http://schemas.microsoft.com/office/drawing/2014/main" id="{F2D6C238-3AC0-4DD3-86C4-E17C3D4E9486}"/>
            </a:ext>
          </a:extLst>
        </xdr:cNvPr>
        <xdr:cNvSpPr>
          <a:spLocks noChangeShapeType="1"/>
        </xdr:cNvSpPr>
      </xdr:nvSpPr>
      <xdr:spPr bwMode="auto">
        <a:xfrm>
          <a:off x="2819400" y="4105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21</xdr:row>
      <xdr:rowOff>104775</xdr:rowOff>
    </xdr:from>
    <xdr:to>
      <xdr:col>5</xdr:col>
      <xdr:colOff>180975</xdr:colOff>
      <xdr:row>22</xdr:row>
      <xdr:rowOff>38100</xdr:rowOff>
    </xdr:to>
    <xdr:sp macro="" textlink="">
      <xdr:nvSpPr>
        <xdr:cNvPr id="85471" name="Rectangle 479">
          <a:extLst>
            <a:ext uri="{FF2B5EF4-FFF2-40B4-BE49-F238E27FC236}">
              <a16:creationId xmlns:a16="http://schemas.microsoft.com/office/drawing/2014/main" id="{A5E4D60D-F5BB-41F2-99AC-6BAD1F3D1579}"/>
            </a:ext>
          </a:extLst>
        </xdr:cNvPr>
        <xdr:cNvSpPr>
          <a:spLocks noChangeArrowheads="1"/>
        </xdr:cNvSpPr>
      </xdr:nvSpPr>
      <xdr:spPr bwMode="auto">
        <a:xfrm>
          <a:off x="2819400" y="4105275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4</xdr:col>
      <xdr:colOff>381000</xdr:colOff>
      <xdr:row>22</xdr:row>
      <xdr:rowOff>38100</xdr:rowOff>
    </xdr:from>
    <xdr:to>
      <xdr:col>5</xdr:col>
      <xdr:colOff>180975</xdr:colOff>
      <xdr:row>22</xdr:row>
      <xdr:rowOff>38100</xdr:rowOff>
    </xdr:to>
    <xdr:sp macro="" textlink="">
      <xdr:nvSpPr>
        <xdr:cNvPr id="85470" name="Line 478">
          <a:extLst>
            <a:ext uri="{FF2B5EF4-FFF2-40B4-BE49-F238E27FC236}">
              <a16:creationId xmlns:a16="http://schemas.microsoft.com/office/drawing/2014/main" id="{D95C1924-AC7B-420E-86E8-C800B191EA67}"/>
            </a:ext>
          </a:extLst>
        </xdr:cNvPr>
        <xdr:cNvSpPr>
          <a:spLocks noChangeShapeType="1"/>
        </xdr:cNvSpPr>
      </xdr:nvSpPr>
      <xdr:spPr bwMode="auto">
        <a:xfrm>
          <a:off x="2819400" y="4229100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21</xdr:row>
      <xdr:rowOff>104775</xdr:rowOff>
    </xdr:from>
    <xdr:to>
      <xdr:col>5</xdr:col>
      <xdr:colOff>180975</xdr:colOff>
      <xdr:row>22</xdr:row>
      <xdr:rowOff>38100</xdr:rowOff>
    </xdr:to>
    <xdr:sp macro="" textlink="">
      <xdr:nvSpPr>
        <xdr:cNvPr id="85469" name="Line 477">
          <a:extLst>
            <a:ext uri="{FF2B5EF4-FFF2-40B4-BE49-F238E27FC236}">
              <a16:creationId xmlns:a16="http://schemas.microsoft.com/office/drawing/2014/main" id="{C25D5B04-F883-401E-BDF0-BD218A4B800C}"/>
            </a:ext>
          </a:extLst>
        </xdr:cNvPr>
        <xdr:cNvSpPr>
          <a:spLocks noChangeShapeType="1"/>
        </xdr:cNvSpPr>
      </xdr:nvSpPr>
      <xdr:spPr bwMode="auto">
        <a:xfrm>
          <a:off x="3228975" y="4105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22</xdr:row>
      <xdr:rowOff>38100</xdr:rowOff>
    </xdr:from>
    <xdr:to>
      <xdr:col>7</xdr:col>
      <xdr:colOff>257175</xdr:colOff>
      <xdr:row>22</xdr:row>
      <xdr:rowOff>38100</xdr:rowOff>
    </xdr:to>
    <xdr:sp macro="" textlink="">
      <xdr:nvSpPr>
        <xdr:cNvPr id="85467" name="Line 475">
          <a:extLst>
            <a:ext uri="{FF2B5EF4-FFF2-40B4-BE49-F238E27FC236}">
              <a16:creationId xmlns:a16="http://schemas.microsoft.com/office/drawing/2014/main" id="{9EA3449B-6C37-4FDC-A732-7F9C2B9EF363}"/>
            </a:ext>
          </a:extLst>
        </xdr:cNvPr>
        <xdr:cNvSpPr>
          <a:spLocks noChangeShapeType="1"/>
        </xdr:cNvSpPr>
      </xdr:nvSpPr>
      <xdr:spPr bwMode="auto">
        <a:xfrm>
          <a:off x="3228975" y="4229100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21</xdr:row>
      <xdr:rowOff>104775</xdr:rowOff>
    </xdr:from>
    <xdr:to>
      <xdr:col>7</xdr:col>
      <xdr:colOff>257175</xdr:colOff>
      <xdr:row>22</xdr:row>
      <xdr:rowOff>38100</xdr:rowOff>
    </xdr:to>
    <xdr:sp macro="" textlink="">
      <xdr:nvSpPr>
        <xdr:cNvPr id="85466" name="Line 474">
          <a:extLst>
            <a:ext uri="{FF2B5EF4-FFF2-40B4-BE49-F238E27FC236}">
              <a16:creationId xmlns:a16="http://schemas.microsoft.com/office/drawing/2014/main" id="{1591517F-3EDB-4F3D-8A7D-72D274FC5C00}"/>
            </a:ext>
          </a:extLst>
        </xdr:cNvPr>
        <xdr:cNvSpPr>
          <a:spLocks noChangeShapeType="1"/>
        </xdr:cNvSpPr>
      </xdr:nvSpPr>
      <xdr:spPr bwMode="auto">
        <a:xfrm>
          <a:off x="4524375" y="4105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22</xdr:row>
      <xdr:rowOff>38100</xdr:rowOff>
    </xdr:from>
    <xdr:to>
      <xdr:col>8</xdr:col>
      <xdr:colOff>523875</xdr:colOff>
      <xdr:row>22</xdr:row>
      <xdr:rowOff>38100</xdr:rowOff>
    </xdr:to>
    <xdr:sp macro="" textlink="">
      <xdr:nvSpPr>
        <xdr:cNvPr id="85464" name="Line 472">
          <a:extLst>
            <a:ext uri="{FF2B5EF4-FFF2-40B4-BE49-F238E27FC236}">
              <a16:creationId xmlns:a16="http://schemas.microsoft.com/office/drawing/2014/main" id="{66F198C0-966A-46CD-8D8A-91949F0112F9}"/>
            </a:ext>
          </a:extLst>
        </xdr:cNvPr>
        <xdr:cNvSpPr>
          <a:spLocks noChangeShapeType="1"/>
        </xdr:cNvSpPr>
      </xdr:nvSpPr>
      <xdr:spPr bwMode="auto">
        <a:xfrm>
          <a:off x="4524375" y="4229100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21</xdr:row>
      <xdr:rowOff>104775</xdr:rowOff>
    </xdr:from>
    <xdr:to>
      <xdr:col>8</xdr:col>
      <xdr:colOff>523875</xdr:colOff>
      <xdr:row>22</xdr:row>
      <xdr:rowOff>38100</xdr:rowOff>
    </xdr:to>
    <xdr:sp macro="" textlink="">
      <xdr:nvSpPr>
        <xdr:cNvPr id="85463" name="Line 471">
          <a:extLst>
            <a:ext uri="{FF2B5EF4-FFF2-40B4-BE49-F238E27FC236}">
              <a16:creationId xmlns:a16="http://schemas.microsoft.com/office/drawing/2014/main" id="{9DE13102-6DBB-4BA9-824D-EDB7CD9822CB}"/>
            </a:ext>
          </a:extLst>
        </xdr:cNvPr>
        <xdr:cNvSpPr>
          <a:spLocks noChangeShapeType="1"/>
        </xdr:cNvSpPr>
      </xdr:nvSpPr>
      <xdr:spPr bwMode="auto">
        <a:xfrm>
          <a:off x="5400675" y="4105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22</xdr:row>
      <xdr:rowOff>38100</xdr:rowOff>
    </xdr:from>
    <xdr:to>
      <xdr:col>10</xdr:col>
      <xdr:colOff>190500</xdr:colOff>
      <xdr:row>22</xdr:row>
      <xdr:rowOff>38100</xdr:rowOff>
    </xdr:to>
    <xdr:sp macro="" textlink="">
      <xdr:nvSpPr>
        <xdr:cNvPr id="85461" name="Line 469">
          <a:extLst>
            <a:ext uri="{FF2B5EF4-FFF2-40B4-BE49-F238E27FC236}">
              <a16:creationId xmlns:a16="http://schemas.microsoft.com/office/drawing/2014/main" id="{197DB7D0-03DF-4ACB-921B-6827BEA83F3B}"/>
            </a:ext>
          </a:extLst>
        </xdr:cNvPr>
        <xdr:cNvSpPr>
          <a:spLocks noChangeShapeType="1"/>
        </xdr:cNvSpPr>
      </xdr:nvSpPr>
      <xdr:spPr bwMode="auto">
        <a:xfrm>
          <a:off x="5400675" y="4229100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21</xdr:row>
      <xdr:rowOff>104775</xdr:rowOff>
    </xdr:from>
    <xdr:to>
      <xdr:col>10</xdr:col>
      <xdr:colOff>190500</xdr:colOff>
      <xdr:row>22</xdr:row>
      <xdr:rowOff>38100</xdr:rowOff>
    </xdr:to>
    <xdr:sp macro="" textlink="">
      <xdr:nvSpPr>
        <xdr:cNvPr id="85460" name="Line 468">
          <a:extLst>
            <a:ext uri="{FF2B5EF4-FFF2-40B4-BE49-F238E27FC236}">
              <a16:creationId xmlns:a16="http://schemas.microsoft.com/office/drawing/2014/main" id="{64DC9167-F67F-436C-B384-17C7D7179CB9}"/>
            </a:ext>
          </a:extLst>
        </xdr:cNvPr>
        <xdr:cNvSpPr>
          <a:spLocks noChangeShapeType="1"/>
        </xdr:cNvSpPr>
      </xdr:nvSpPr>
      <xdr:spPr bwMode="auto">
        <a:xfrm>
          <a:off x="6286500" y="4105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22</xdr:row>
      <xdr:rowOff>38100</xdr:rowOff>
    </xdr:from>
    <xdr:to>
      <xdr:col>11</xdr:col>
      <xdr:colOff>476250</xdr:colOff>
      <xdr:row>22</xdr:row>
      <xdr:rowOff>38100</xdr:rowOff>
    </xdr:to>
    <xdr:sp macro="" textlink="">
      <xdr:nvSpPr>
        <xdr:cNvPr id="85458" name="Line 466">
          <a:extLst>
            <a:ext uri="{FF2B5EF4-FFF2-40B4-BE49-F238E27FC236}">
              <a16:creationId xmlns:a16="http://schemas.microsoft.com/office/drawing/2014/main" id="{26307774-F5BF-4A96-AE81-6D30CC16FD29}"/>
            </a:ext>
          </a:extLst>
        </xdr:cNvPr>
        <xdr:cNvSpPr>
          <a:spLocks noChangeShapeType="1"/>
        </xdr:cNvSpPr>
      </xdr:nvSpPr>
      <xdr:spPr bwMode="auto">
        <a:xfrm>
          <a:off x="6286500" y="4229100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21</xdr:row>
      <xdr:rowOff>104775</xdr:rowOff>
    </xdr:from>
    <xdr:to>
      <xdr:col>11</xdr:col>
      <xdr:colOff>466725</xdr:colOff>
      <xdr:row>22</xdr:row>
      <xdr:rowOff>38100</xdr:rowOff>
    </xdr:to>
    <xdr:sp macro="" textlink="">
      <xdr:nvSpPr>
        <xdr:cNvPr id="85457" name="Line 465">
          <a:extLst>
            <a:ext uri="{FF2B5EF4-FFF2-40B4-BE49-F238E27FC236}">
              <a16:creationId xmlns:a16="http://schemas.microsoft.com/office/drawing/2014/main" id="{6FBB51D9-EA7D-4BBE-A692-F51AF07381B3}"/>
            </a:ext>
          </a:extLst>
        </xdr:cNvPr>
        <xdr:cNvSpPr>
          <a:spLocks noChangeShapeType="1"/>
        </xdr:cNvSpPr>
      </xdr:nvSpPr>
      <xdr:spPr bwMode="auto">
        <a:xfrm>
          <a:off x="7172325" y="4105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22</xdr:row>
      <xdr:rowOff>38100</xdr:rowOff>
    </xdr:from>
    <xdr:to>
      <xdr:col>11</xdr:col>
      <xdr:colOff>466725</xdr:colOff>
      <xdr:row>23</xdr:row>
      <xdr:rowOff>104775</xdr:rowOff>
    </xdr:to>
    <xdr:sp macro="" textlink="">
      <xdr:nvSpPr>
        <xdr:cNvPr id="85456" name="Rectangle 464">
          <a:extLst>
            <a:ext uri="{FF2B5EF4-FFF2-40B4-BE49-F238E27FC236}">
              <a16:creationId xmlns:a16="http://schemas.microsoft.com/office/drawing/2014/main" id="{AEA6A671-81AA-4AE1-ABCA-34458C45F557}"/>
            </a:ext>
          </a:extLst>
        </xdr:cNvPr>
        <xdr:cNvSpPr>
          <a:spLocks noChangeArrowheads="1"/>
        </xdr:cNvSpPr>
      </xdr:nvSpPr>
      <xdr:spPr bwMode="auto">
        <a:xfrm>
          <a:off x="381000" y="4229100"/>
          <a:ext cx="6791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22</xdr:row>
      <xdr:rowOff>38100</xdr:rowOff>
    </xdr:from>
    <xdr:to>
      <xdr:col>4</xdr:col>
      <xdr:colOff>381000</xdr:colOff>
      <xdr:row>23</xdr:row>
      <xdr:rowOff>104775</xdr:rowOff>
    </xdr:to>
    <xdr:sp macro="" textlink="">
      <xdr:nvSpPr>
        <xdr:cNvPr id="85455" name="Rectangle 463">
          <a:extLst>
            <a:ext uri="{FF2B5EF4-FFF2-40B4-BE49-F238E27FC236}">
              <a16:creationId xmlns:a16="http://schemas.microsoft.com/office/drawing/2014/main" id="{9FA95091-8E3A-4725-9E7B-F02FA48FB38E}"/>
            </a:ext>
          </a:extLst>
        </xdr:cNvPr>
        <xdr:cNvSpPr>
          <a:spLocks noChangeArrowheads="1"/>
        </xdr:cNvSpPr>
      </xdr:nvSpPr>
      <xdr:spPr bwMode="auto">
        <a:xfrm>
          <a:off x="381000" y="4229100"/>
          <a:ext cx="2438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Refundacja składek na ubezpieczenia społeczne</a:t>
          </a:r>
        </a:p>
      </xdr:txBody>
    </xdr:sp>
    <xdr:clientData/>
  </xdr:twoCellAnchor>
  <xdr:twoCellAnchor>
    <xdr:from>
      <xdr:col>0</xdr:col>
      <xdr:colOff>381000</xdr:colOff>
      <xdr:row>22</xdr:row>
      <xdr:rowOff>38100</xdr:rowOff>
    </xdr:from>
    <xdr:to>
      <xdr:col>0</xdr:col>
      <xdr:colOff>381000</xdr:colOff>
      <xdr:row>23</xdr:row>
      <xdr:rowOff>104775</xdr:rowOff>
    </xdr:to>
    <xdr:sp macro="" textlink="">
      <xdr:nvSpPr>
        <xdr:cNvPr id="85454" name="Line 462">
          <a:extLst>
            <a:ext uri="{FF2B5EF4-FFF2-40B4-BE49-F238E27FC236}">
              <a16:creationId xmlns:a16="http://schemas.microsoft.com/office/drawing/2014/main" id="{0BAFBD29-9FE1-4A90-AEE6-773A1ACCA632}"/>
            </a:ext>
          </a:extLst>
        </xdr:cNvPr>
        <xdr:cNvSpPr>
          <a:spLocks noChangeShapeType="1"/>
        </xdr:cNvSpPr>
      </xdr:nvSpPr>
      <xdr:spPr bwMode="auto">
        <a:xfrm>
          <a:off x="381000" y="4229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23</xdr:row>
      <xdr:rowOff>104775</xdr:rowOff>
    </xdr:from>
    <xdr:to>
      <xdr:col>4</xdr:col>
      <xdr:colOff>381000</xdr:colOff>
      <xdr:row>23</xdr:row>
      <xdr:rowOff>104775</xdr:rowOff>
    </xdr:to>
    <xdr:sp macro="" textlink="">
      <xdr:nvSpPr>
        <xdr:cNvPr id="85453" name="Line 461">
          <a:extLst>
            <a:ext uri="{FF2B5EF4-FFF2-40B4-BE49-F238E27FC236}">
              <a16:creationId xmlns:a16="http://schemas.microsoft.com/office/drawing/2014/main" id="{DD5BBBB0-E8C5-4D82-89CC-0E3B7589B91D}"/>
            </a:ext>
          </a:extLst>
        </xdr:cNvPr>
        <xdr:cNvSpPr>
          <a:spLocks noChangeShapeType="1"/>
        </xdr:cNvSpPr>
      </xdr:nvSpPr>
      <xdr:spPr bwMode="auto">
        <a:xfrm>
          <a:off x="381000" y="448627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22</xdr:row>
      <xdr:rowOff>38100</xdr:rowOff>
    </xdr:from>
    <xdr:to>
      <xdr:col>4</xdr:col>
      <xdr:colOff>381000</xdr:colOff>
      <xdr:row>23</xdr:row>
      <xdr:rowOff>104775</xdr:rowOff>
    </xdr:to>
    <xdr:sp macro="" textlink="">
      <xdr:nvSpPr>
        <xdr:cNvPr id="85452" name="Line 460">
          <a:extLst>
            <a:ext uri="{FF2B5EF4-FFF2-40B4-BE49-F238E27FC236}">
              <a16:creationId xmlns:a16="http://schemas.microsoft.com/office/drawing/2014/main" id="{B3E4FFB5-E3B1-4E48-BDF3-A323A89D55FB}"/>
            </a:ext>
          </a:extLst>
        </xdr:cNvPr>
        <xdr:cNvSpPr>
          <a:spLocks noChangeShapeType="1"/>
        </xdr:cNvSpPr>
      </xdr:nvSpPr>
      <xdr:spPr bwMode="auto">
        <a:xfrm>
          <a:off x="2819400" y="4229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22</xdr:row>
      <xdr:rowOff>38100</xdr:rowOff>
    </xdr:from>
    <xdr:to>
      <xdr:col>5</xdr:col>
      <xdr:colOff>180975</xdr:colOff>
      <xdr:row>23</xdr:row>
      <xdr:rowOff>104775</xdr:rowOff>
    </xdr:to>
    <xdr:sp macro="" textlink="">
      <xdr:nvSpPr>
        <xdr:cNvPr id="85451" name="Rectangle 459">
          <a:extLst>
            <a:ext uri="{FF2B5EF4-FFF2-40B4-BE49-F238E27FC236}">
              <a16:creationId xmlns:a16="http://schemas.microsoft.com/office/drawing/2014/main" id="{A25F540D-5531-441A-8ECB-8B1C0070D58C}"/>
            </a:ext>
          </a:extLst>
        </xdr:cNvPr>
        <xdr:cNvSpPr>
          <a:spLocks noChangeArrowheads="1"/>
        </xdr:cNvSpPr>
      </xdr:nvSpPr>
      <xdr:spPr bwMode="auto">
        <a:xfrm>
          <a:off x="2819400" y="4229100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6350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4</xdr:col>
      <xdr:colOff>381000</xdr:colOff>
      <xdr:row>23</xdr:row>
      <xdr:rowOff>104775</xdr:rowOff>
    </xdr:from>
    <xdr:to>
      <xdr:col>5</xdr:col>
      <xdr:colOff>180975</xdr:colOff>
      <xdr:row>23</xdr:row>
      <xdr:rowOff>104775</xdr:rowOff>
    </xdr:to>
    <xdr:sp macro="" textlink="">
      <xdr:nvSpPr>
        <xdr:cNvPr id="85450" name="Line 458">
          <a:extLst>
            <a:ext uri="{FF2B5EF4-FFF2-40B4-BE49-F238E27FC236}">
              <a16:creationId xmlns:a16="http://schemas.microsoft.com/office/drawing/2014/main" id="{D6A59D9B-5E0F-4BC9-B65B-D68ED72997C4}"/>
            </a:ext>
          </a:extLst>
        </xdr:cNvPr>
        <xdr:cNvSpPr>
          <a:spLocks noChangeShapeType="1"/>
        </xdr:cNvSpPr>
      </xdr:nvSpPr>
      <xdr:spPr bwMode="auto">
        <a:xfrm>
          <a:off x="2819400" y="448627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22</xdr:row>
      <xdr:rowOff>38100</xdr:rowOff>
    </xdr:from>
    <xdr:to>
      <xdr:col>5</xdr:col>
      <xdr:colOff>180975</xdr:colOff>
      <xdr:row>23</xdr:row>
      <xdr:rowOff>104775</xdr:rowOff>
    </xdr:to>
    <xdr:sp macro="" textlink="">
      <xdr:nvSpPr>
        <xdr:cNvPr id="85449" name="Line 457">
          <a:extLst>
            <a:ext uri="{FF2B5EF4-FFF2-40B4-BE49-F238E27FC236}">
              <a16:creationId xmlns:a16="http://schemas.microsoft.com/office/drawing/2014/main" id="{E9B11085-E83B-49B4-BECC-CC9B5F6B386F}"/>
            </a:ext>
          </a:extLst>
        </xdr:cNvPr>
        <xdr:cNvSpPr>
          <a:spLocks noChangeShapeType="1"/>
        </xdr:cNvSpPr>
      </xdr:nvSpPr>
      <xdr:spPr bwMode="auto">
        <a:xfrm>
          <a:off x="3228975" y="4229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23</xdr:row>
      <xdr:rowOff>104775</xdr:rowOff>
    </xdr:from>
    <xdr:to>
      <xdr:col>7</xdr:col>
      <xdr:colOff>257175</xdr:colOff>
      <xdr:row>23</xdr:row>
      <xdr:rowOff>104775</xdr:rowOff>
    </xdr:to>
    <xdr:sp macro="" textlink="">
      <xdr:nvSpPr>
        <xdr:cNvPr id="85447" name="Line 455">
          <a:extLst>
            <a:ext uri="{FF2B5EF4-FFF2-40B4-BE49-F238E27FC236}">
              <a16:creationId xmlns:a16="http://schemas.microsoft.com/office/drawing/2014/main" id="{209437A0-05EE-4FBB-88B1-5906B9EA83F3}"/>
            </a:ext>
          </a:extLst>
        </xdr:cNvPr>
        <xdr:cNvSpPr>
          <a:spLocks noChangeShapeType="1"/>
        </xdr:cNvSpPr>
      </xdr:nvSpPr>
      <xdr:spPr bwMode="auto">
        <a:xfrm>
          <a:off x="3228975" y="448627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22</xdr:row>
      <xdr:rowOff>38100</xdr:rowOff>
    </xdr:from>
    <xdr:to>
      <xdr:col>7</xdr:col>
      <xdr:colOff>257175</xdr:colOff>
      <xdr:row>23</xdr:row>
      <xdr:rowOff>104775</xdr:rowOff>
    </xdr:to>
    <xdr:sp macro="" textlink="">
      <xdr:nvSpPr>
        <xdr:cNvPr id="85446" name="Line 454">
          <a:extLst>
            <a:ext uri="{FF2B5EF4-FFF2-40B4-BE49-F238E27FC236}">
              <a16:creationId xmlns:a16="http://schemas.microsoft.com/office/drawing/2014/main" id="{5C2D92FA-BB02-467D-96AE-EA7E8CCF676A}"/>
            </a:ext>
          </a:extLst>
        </xdr:cNvPr>
        <xdr:cNvSpPr>
          <a:spLocks noChangeShapeType="1"/>
        </xdr:cNvSpPr>
      </xdr:nvSpPr>
      <xdr:spPr bwMode="auto">
        <a:xfrm>
          <a:off x="4524375" y="4229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23</xdr:row>
      <xdr:rowOff>104775</xdr:rowOff>
    </xdr:from>
    <xdr:to>
      <xdr:col>8</xdr:col>
      <xdr:colOff>523875</xdr:colOff>
      <xdr:row>23</xdr:row>
      <xdr:rowOff>104775</xdr:rowOff>
    </xdr:to>
    <xdr:sp macro="" textlink="">
      <xdr:nvSpPr>
        <xdr:cNvPr id="85444" name="Line 452">
          <a:extLst>
            <a:ext uri="{FF2B5EF4-FFF2-40B4-BE49-F238E27FC236}">
              <a16:creationId xmlns:a16="http://schemas.microsoft.com/office/drawing/2014/main" id="{4508C70C-A97B-4CD2-BD11-9A324712ECFF}"/>
            </a:ext>
          </a:extLst>
        </xdr:cNvPr>
        <xdr:cNvSpPr>
          <a:spLocks noChangeShapeType="1"/>
        </xdr:cNvSpPr>
      </xdr:nvSpPr>
      <xdr:spPr bwMode="auto">
        <a:xfrm>
          <a:off x="4524375" y="448627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22</xdr:row>
      <xdr:rowOff>38100</xdr:rowOff>
    </xdr:from>
    <xdr:to>
      <xdr:col>8</xdr:col>
      <xdr:colOff>523875</xdr:colOff>
      <xdr:row>23</xdr:row>
      <xdr:rowOff>104775</xdr:rowOff>
    </xdr:to>
    <xdr:sp macro="" textlink="">
      <xdr:nvSpPr>
        <xdr:cNvPr id="85443" name="Line 451">
          <a:extLst>
            <a:ext uri="{FF2B5EF4-FFF2-40B4-BE49-F238E27FC236}">
              <a16:creationId xmlns:a16="http://schemas.microsoft.com/office/drawing/2014/main" id="{7ABB49E8-A8EB-4288-BAF6-D7DC899A4BC2}"/>
            </a:ext>
          </a:extLst>
        </xdr:cNvPr>
        <xdr:cNvSpPr>
          <a:spLocks noChangeShapeType="1"/>
        </xdr:cNvSpPr>
      </xdr:nvSpPr>
      <xdr:spPr bwMode="auto">
        <a:xfrm>
          <a:off x="5400675" y="4229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23</xdr:row>
      <xdr:rowOff>104775</xdr:rowOff>
    </xdr:from>
    <xdr:to>
      <xdr:col>10</xdr:col>
      <xdr:colOff>190500</xdr:colOff>
      <xdr:row>23</xdr:row>
      <xdr:rowOff>104775</xdr:rowOff>
    </xdr:to>
    <xdr:sp macro="" textlink="">
      <xdr:nvSpPr>
        <xdr:cNvPr id="85441" name="Line 449">
          <a:extLst>
            <a:ext uri="{FF2B5EF4-FFF2-40B4-BE49-F238E27FC236}">
              <a16:creationId xmlns:a16="http://schemas.microsoft.com/office/drawing/2014/main" id="{0BE16532-3EDD-407A-ADF3-DCAA7525E9C4}"/>
            </a:ext>
          </a:extLst>
        </xdr:cNvPr>
        <xdr:cNvSpPr>
          <a:spLocks noChangeShapeType="1"/>
        </xdr:cNvSpPr>
      </xdr:nvSpPr>
      <xdr:spPr bwMode="auto">
        <a:xfrm>
          <a:off x="5400675" y="448627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22</xdr:row>
      <xdr:rowOff>38100</xdr:rowOff>
    </xdr:from>
    <xdr:to>
      <xdr:col>10</xdr:col>
      <xdr:colOff>190500</xdr:colOff>
      <xdr:row>23</xdr:row>
      <xdr:rowOff>104775</xdr:rowOff>
    </xdr:to>
    <xdr:sp macro="" textlink="">
      <xdr:nvSpPr>
        <xdr:cNvPr id="85440" name="Line 448">
          <a:extLst>
            <a:ext uri="{FF2B5EF4-FFF2-40B4-BE49-F238E27FC236}">
              <a16:creationId xmlns:a16="http://schemas.microsoft.com/office/drawing/2014/main" id="{78B8D7C5-7609-4398-848E-4BFB06EF7502}"/>
            </a:ext>
          </a:extLst>
        </xdr:cNvPr>
        <xdr:cNvSpPr>
          <a:spLocks noChangeShapeType="1"/>
        </xdr:cNvSpPr>
      </xdr:nvSpPr>
      <xdr:spPr bwMode="auto">
        <a:xfrm>
          <a:off x="6286500" y="4229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23</xdr:row>
      <xdr:rowOff>104775</xdr:rowOff>
    </xdr:from>
    <xdr:to>
      <xdr:col>11</xdr:col>
      <xdr:colOff>476250</xdr:colOff>
      <xdr:row>23</xdr:row>
      <xdr:rowOff>104775</xdr:rowOff>
    </xdr:to>
    <xdr:sp macro="" textlink="">
      <xdr:nvSpPr>
        <xdr:cNvPr id="85438" name="Line 446">
          <a:extLst>
            <a:ext uri="{FF2B5EF4-FFF2-40B4-BE49-F238E27FC236}">
              <a16:creationId xmlns:a16="http://schemas.microsoft.com/office/drawing/2014/main" id="{73943443-CCE6-4F62-8BDB-3827B0EF9F98}"/>
            </a:ext>
          </a:extLst>
        </xdr:cNvPr>
        <xdr:cNvSpPr>
          <a:spLocks noChangeShapeType="1"/>
        </xdr:cNvSpPr>
      </xdr:nvSpPr>
      <xdr:spPr bwMode="auto">
        <a:xfrm>
          <a:off x="6286500" y="448627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22</xdr:row>
      <xdr:rowOff>38100</xdr:rowOff>
    </xdr:from>
    <xdr:to>
      <xdr:col>11</xdr:col>
      <xdr:colOff>466725</xdr:colOff>
      <xdr:row>23</xdr:row>
      <xdr:rowOff>104775</xdr:rowOff>
    </xdr:to>
    <xdr:sp macro="" textlink="">
      <xdr:nvSpPr>
        <xdr:cNvPr id="85437" name="Line 445">
          <a:extLst>
            <a:ext uri="{FF2B5EF4-FFF2-40B4-BE49-F238E27FC236}">
              <a16:creationId xmlns:a16="http://schemas.microsoft.com/office/drawing/2014/main" id="{2D3E8010-12AA-4941-8B3E-2F452EEB5E5B}"/>
            </a:ext>
          </a:extLst>
        </xdr:cNvPr>
        <xdr:cNvSpPr>
          <a:spLocks noChangeShapeType="1"/>
        </xdr:cNvSpPr>
      </xdr:nvSpPr>
      <xdr:spPr bwMode="auto">
        <a:xfrm>
          <a:off x="7172325" y="4229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23</xdr:row>
      <xdr:rowOff>104775</xdr:rowOff>
    </xdr:from>
    <xdr:to>
      <xdr:col>11</xdr:col>
      <xdr:colOff>466725</xdr:colOff>
      <xdr:row>24</xdr:row>
      <xdr:rowOff>38100</xdr:rowOff>
    </xdr:to>
    <xdr:sp macro="" textlink="">
      <xdr:nvSpPr>
        <xdr:cNvPr id="85436" name="Rectangle 444">
          <a:extLst>
            <a:ext uri="{FF2B5EF4-FFF2-40B4-BE49-F238E27FC236}">
              <a16:creationId xmlns:a16="http://schemas.microsoft.com/office/drawing/2014/main" id="{481D1CFF-0A4E-45AD-BC00-44D82485F044}"/>
            </a:ext>
          </a:extLst>
        </xdr:cNvPr>
        <xdr:cNvSpPr>
          <a:spLocks noChangeArrowheads="1"/>
        </xdr:cNvSpPr>
      </xdr:nvSpPr>
      <xdr:spPr bwMode="auto">
        <a:xfrm>
          <a:off x="381000" y="4486275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23</xdr:row>
      <xdr:rowOff>104775</xdr:rowOff>
    </xdr:from>
    <xdr:to>
      <xdr:col>4</xdr:col>
      <xdr:colOff>381000</xdr:colOff>
      <xdr:row>24</xdr:row>
      <xdr:rowOff>38100</xdr:rowOff>
    </xdr:to>
    <xdr:sp macro="" textlink="">
      <xdr:nvSpPr>
        <xdr:cNvPr id="85435" name="Rectangle 443">
          <a:extLst>
            <a:ext uri="{FF2B5EF4-FFF2-40B4-BE49-F238E27FC236}">
              <a16:creationId xmlns:a16="http://schemas.microsoft.com/office/drawing/2014/main" id="{F7401E98-2C54-4310-BA3F-5068B640544D}"/>
            </a:ext>
          </a:extLst>
        </xdr:cNvPr>
        <xdr:cNvSpPr>
          <a:spLocks noChangeArrowheads="1"/>
        </xdr:cNvSpPr>
      </xdr:nvSpPr>
      <xdr:spPr bwMode="auto">
        <a:xfrm>
          <a:off x="381000" y="4486275"/>
          <a:ext cx="2438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Studia podyplomowe</a:t>
          </a:r>
        </a:p>
      </xdr:txBody>
    </xdr:sp>
    <xdr:clientData/>
  </xdr:twoCellAnchor>
  <xdr:twoCellAnchor>
    <xdr:from>
      <xdr:col>0</xdr:col>
      <xdr:colOff>381000</xdr:colOff>
      <xdr:row>23</xdr:row>
      <xdr:rowOff>104775</xdr:rowOff>
    </xdr:from>
    <xdr:to>
      <xdr:col>0</xdr:col>
      <xdr:colOff>381000</xdr:colOff>
      <xdr:row>24</xdr:row>
      <xdr:rowOff>38100</xdr:rowOff>
    </xdr:to>
    <xdr:sp macro="" textlink="">
      <xdr:nvSpPr>
        <xdr:cNvPr id="85434" name="Line 442">
          <a:extLst>
            <a:ext uri="{FF2B5EF4-FFF2-40B4-BE49-F238E27FC236}">
              <a16:creationId xmlns:a16="http://schemas.microsoft.com/office/drawing/2014/main" id="{DCA7522A-90F2-4E61-9E5C-0609AE7C8E6D}"/>
            </a:ext>
          </a:extLst>
        </xdr:cNvPr>
        <xdr:cNvSpPr>
          <a:spLocks noChangeShapeType="1"/>
        </xdr:cNvSpPr>
      </xdr:nvSpPr>
      <xdr:spPr bwMode="auto">
        <a:xfrm>
          <a:off x="381000" y="4486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24</xdr:row>
      <xdr:rowOff>38100</xdr:rowOff>
    </xdr:from>
    <xdr:to>
      <xdr:col>4</xdr:col>
      <xdr:colOff>381000</xdr:colOff>
      <xdr:row>24</xdr:row>
      <xdr:rowOff>38100</xdr:rowOff>
    </xdr:to>
    <xdr:sp macro="" textlink="">
      <xdr:nvSpPr>
        <xdr:cNvPr id="85433" name="Line 441">
          <a:extLst>
            <a:ext uri="{FF2B5EF4-FFF2-40B4-BE49-F238E27FC236}">
              <a16:creationId xmlns:a16="http://schemas.microsoft.com/office/drawing/2014/main" id="{9A7B5AA2-0D6C-44FA-B862-BF7D7F3EF68E}"/>
            </a:ext>
          </a:extLst>
        </xdr:cNvPr>
        <xdr:cNvSpPr>
          <a:spLocks noChangeShapeType="1"/>
        </xdr:cNvSpPr>
      </xdr:nvSpPr>
      <xdr:spPr bwMode="auto">
        <a:xfrm>
          <a:off x="381000" y="4610100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23</xdr:row>
      <xdr:rowOff>104775</xdr:rowOff>
    </xdr:from>
    <xdr:to>
      <xdr:col>4</xdr:col>
      <xdr:colOff>381000</xdr:colOff>
      <xdr:row>24</xdr:row>
      <xdr:rowOff>38100</xdr:rowOff>
    </xdr:to>
    <xdr:sp macro="" textlink="">
      <xdr:nvSpPr>
        <xdr:cNvPr id="85432" name="Line 440">
          <a:extLst>
            <a:ext uri="{FF2B5EF4-FFF2-40B4-BE49-F238E27FC236}">
              <a16:creationId xmlns:a16="http://schemas.microsoft.com/office/drawing/2014/main" id="{60BB912E-44DD-44A5-96BB-6E3A855531C4}"/>
            </a:ext>
          </a:extLst>
        </xdr:cNvPr>
        <xdr:cNvSpPr>
          <a:spLocks noChangeShapeType="1"/>
        </xdr:cNvSpPr>
      </xdr:nvSpPr>
      <xdr:spPr bwMode="auto">
        <a:xfrm>
          <a:off x="2819400" y="4486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23</xdr:row>
      <xdr:rowOff>104775</xdr:rowOff>
    </xdr:from>
    <xdr:to>
      <xdr:col>5</xdr:col>
      <xdr:colOff>180975</xdr:colOff>
      <xdr:row>24</xdr:row>
      <xdr:rowOff>38100</xdr:rowOff>
    </xdr:to>
    <xdr:sp macro="" textlink="">
      <xdr:nvSpPr>
        <xdr:cNvPr id="85431" name="Rectangle 439">
          <a:extLst>
            <a:ext uri="{FF2B5EF4-FFF2-40B4-BE49-F238E27FC236}">
              <a16:creationId xmlns:a16="http://schemas.microsoft.com/office/drawing/2014/main" id="{550443C6-F1A3-4E0E-9852-9FE65B3145B4}"/>
            </a:ext>
          </a:extLst>
        </xdr:cNvPr>
        <xdr:cNvSpPr>
          <a:spLocks noChangeArrowheads="1"/>
        </xdr:cNvSpPr>
      </xdr:nvSpPr>
      <xdr:spPr bwMode="auto">
        <a:xfrm>
          <a:off x="2819400" y="4486275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4</xdr:col>
      <xdr:colOff>381000</xdr:colOff>
      <xdr:row>24</xdr:row>
      <xdr:rowOff>38100</xdr:rowOff>
    </xdr:from>
    <xdr:to>
      <xdr:col>5</xdr:col>
      <xdr:colOff>180975</xdr:colOff>
      <xdr:row>24</xdr:row>
      <xdr:rowOff>38100</xdr:rowOff>
    </xdr:to>
    <xdr:sp macro="" textlink="">
      <xdr:nvSpPr>
        <xdr:cNvPr id="85430" name="Line 438">
          <a:extLst>
            <a:ext uri="{FF2B5EF4-FFF2-40B4-BE49-F238E27FC236}">
              <a16:creationId xmlns:a16="http://schemas.microsoft.com/office/drawing/2014/main" id="{FEE04A88-6935-4C0B-AB9F-02041A03C78C}"/>
            </a:ext>
          </a:extLst>
        </xdr:cNvPr>
        <xdr:cNvSpPr>
          <a:spLocks noChangeShapeType="1"/>
        </xdr:cNvSpPr>
      </xdr:nvSpPr>
      <xdr:spPr bwMode="auto">
        <a:xfrm>
          <a:off x="2819400" y="4610100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23</xdr:row>
      <xdr:rowOff>104775</xdr:rowOff>
    </xdr:from>
    <xdr:to>
      <xdr:col>5</xdr:col>
      <xdr:colOff>180975</xdr:colOff>
      <xdr:row>24</xdr:row>
      <xdr:rowOff>38100</xdr:rowOff>
    </xdr:to>
    <xdr:sp macro="" textlink="">
      <xdr:nvSpPr>
        <xdr:cNvPr id="85429" name="Line 437">
          <a:extLst>
            <a:ext uri="{FF2B5EF4-FFF2-40B4-BE49-F238E27FC236}">
              <a16:creationId xmlns:a16="http://schemas.microsoft.com/office/drawing/2014/main" id="{A780365A-B3A9-433A-AE45-AF2D5F467218}"/>
            </a:ext>
          </a:extLst>
        </xdr:cNvPr>
        <xdr:cNvSpPr>
          <a:spLocks noChangeShapeType="1"/>
        </xdr:cNvSpPr>
      </xdr:nvSpPr>
      <xdr:spPr bwMode="auto">
        <a:xfrm>
          <a:off x="3228975" y="4486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24</xdr:row>
      <xdr:rowOff>38100</xdr:rowOff>
    </xdr:from>
    <xdr:to>
      <xdr:col>7</xdr:col>
      <xdr:colOff>257175</xdr:colOff>
      <xdr:row>24</xdr:row>
      <xdr:rowOff>38100</xdr:rowOff>
    </xdr:to>
    <xdr:sp macro="" textlink="">
      <xdr:nvSpPr>
        <xdr:cNvPr id="85427" name="Line 435">
          <a:extLst>
            <a:ext uri="{FF2B5EF4-FFF2-40B4-BE49-F238E27FC236}">
              <a16:creationId xmlns:a16="http://schemas.microsoft.com/office/drawing/2014/main" id="{2B18F77C-E968-4881-8FF7-271D5C50A82A}"/>
            </a:ext>
          </a:extLst>
        </xdr:cNvPr>
        <xdr:cNvSpPr>
          <a:spLocks noChangeShapeType="1"/>
        </xdr:cNvSpPr>
      </xdr:nvSpPr>
      <xdr:spPr bwMode="auto">
        <a:xfrm>
          <a:off x="3228975" y="4610100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23</xdr:row>
      <xdr:rowOff>104775</xdr:rowOff>
    </xdr:from>
    <xdr:to>
      <xdr:col>7</xdr:col>
      <xdr:colOff>257175</xdr:colOff>
      <xdr:row>24</xdr:row>
      <xdr:rowOff>38100</xdr:rowOff>
    </xdr:to>
    <xdr:sp macro="" textlink="">
      <xdr:nvSpPr>
        <xdr:cNvPr id="85426" name="Line 434">
          <a:extLst>
            <a:ext uri="{FF2B5EF4-FFF2-40B4-BE49-F238E27FC236}">
              <a16:creationId xmlns:a16="http://schemas.microsoft.com/office/drawing/2014/main" id="{F83BD135-0BC5-400B-84F2-BD0A123CA2DA}"/>
            </a:ext>
          </a:extLst>
        </xdr:cNvPr>
        <xdr:cNvSpPr>
          <a:spLocks noChangeShapeType="1"/>
        </xdr:cNvSpPr>
      </xdr:nvSpPr>
      <xdr:spPr bwMode="auto">
        <a:xfrm>
          <a:off x="4524375" y="4486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24</xdr:row>
      <xdr:rowOff>38100</xdr:rowOff>
    </xdr:from>
    <xdr:to>
      <xdr:col>8</xdr:col>
      <xdr:colOff>523875</xdr:colOff>
      <xdr:row>24</xdr:row>
      <xdr:rowOff>38100</xdr:rowOff>
    </xdr:to>
    <xdr:sp macro="" textlink="">
      <xdr:nvSpPr>
        <xdr:cNvPr id="85424" name="Line 432">
          <a:extLst>
            <a:ext uri="{FF2B5EF4-FFF2-40B4-BE49-F238E27FC236}">
              <a16:creationId xmlns:a16="http://schemas.microsoft.com/office/drawing/2014/main" id="{88DCF3F6-5386-4687-B084-AE0A41A79919}"/>
            </a:ext>
          </a:extLst>
        </xdr:cNvPr>
        <xdr:cNvSpPr>
          <a:spLocks noChangeShapeType="1"/>
        </xdr:cNvSpPr>
      </xdr:nvSpPr>
      <xdr:spPr bwMode="auto">
        <a:xfrm>
          <a:off x="4524375" y="4610100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23</xdr:row>
      <xdr:rowOff>104775</xdr:rowOff>
    </xdr:from>
    <xdr:to>
      <xdr:col>8</xdr:col>
      <xdr:colOff>523875</xdr:colOff>
      <xdr:row>24</xdr:row>
      <xdr:rowOff>38100</xdr:rowOff>
    </xdr:to>
    <xdr:sp macro="" textlink="">
      <xdr:nvSpPr>
        <xdr:cNvPr id="85423" name="Line 431">
          <a:extLst>
            <a:ext uri="{FF2B5EF4-FFF2-40B4-BE49-F238E27FC236}">
              <a16:creationId xmlns:a16="http://schemas.microsoft.com/office/drawing/2014/main" id="{92DEF82D-DB2F-4633-B796-F6341471B521}"/>
            </a:ext>
          </a:extLst>
        </xdr:cNvPr>
        <xdr:cNvSpPr>
          <a:spLocks noChangeShapeType="1"/>
        </xdr:cNvSpPr>
      </xdr:nvSpPr>
      <xdr:spPr bwMode="auto">
        <a:xfrm>
          <a:off x="5400675" y="4486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24</xdr:row>
      <xdr:rowOff>38100</xdr:rowOff>
    </xdr:from>
    <xdr:to>
      <xdr:col>10</xdr:col>
      <xdr:colOff>190500</xdr:colOff>
      <xdr:row>24</xdr:row>
      <xdr:rowOff>38100</xdr:rowOff>
    </xdr:to>
    <xdr:sp macro="" textlink="">
      <xdr:nvSpPr>
        <xdr:cNvPr id="85421" name="Line 429">
          <a:extLst>
            <a:ext uri="{FF2B5EF4-FFF2-40B4-BE49-F238E27FC236}">
              <a16:creationId xmlns:a16="http://schemas.microsoft.com/office/drawing/2014/main" id="{C4B17F23-1BB7-4D01-82E2-C72BB6D30A5C}"/>
            </a:ext>
          </a:extLst>
        </xdr:cNvPr>
        <xdr:cNvSpPr>
          <a:spLocks noChangeShapeType="1"/>
        </xdr:cNvSpPr>
      </xdr:nvSpPr>
      <xdr:spPr bwMode="auto">
        <a:xfrm>
          <a:off x="5400675" y="4610100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23</xdr:row>
      <xdr:rowOff>104775</xdr:rowOff>
    </xdr:from>
    <xdr:to>
      <xdr:col>10</xdr:col>
      <xdr:colOff>190500</xdr:colOff>
      <xdr:row>24</xdr:row>
      <xdr:rowOff>38100</xdr:rowOff>
    </xdr:to>
    <xdr:sp macro="" textlink="">
      <xdr:nvSpPr>
        <xdr:cNvPr id="85420" name="Line 428">
          <a:extLst>
            <a:ext uri="{FF2B5EF4-FFF2-40B4-BE49-F238E27FC236}">
              <a16:creationId xmlns:a16="http://schemas.microsoft.com/office/drawing/2014/main" id="{9BE95CFC-DD86-46F5-A8DE-D9BF0BADD680}"/>
            </a:ext>
          </a:extLst>
        </xdr:cNvPr>
        <xdr:cNvSpPr>
          <a:spLocks noChangeShapeType="1"/>
        </xdr:cNvSpPr>
      </xdr:nvSpPr>
      <xdr:spPr bwMode="auto">
        <a:xfrm>
          <a:off x="6286500" y="4486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24</xdr:row>
      <xdr:rowOff>38100</xdr:rowOff>
    </xdr:from>
    <xdr:to>
      <xdr:col>11</xdr:col>
      <xdr:colOff>476250</xdr:colOff>
      <xdr:row>24</xdr:row>
      <xdr:rowOff>38100</xdr:rowOff>
    </xdr:to>
    <xdr:sp macro="" textlink="">
      <xdr:nvSpPr>
        <xdr:cNvPr id="85418" name="Line 426">
          <a:extLst>
            <a:ext uri="{FF2B5EF4-FFF2-40B4-BE49-F238E27FC236}">
              <a16:creationId xmlns:a16="http://schemas.microsoft.com/office/drawing/2014/main" id="{5D0BE3BB-E6B7-41D3-88D0-8F92DF3F8E47}"/>
            </a:ext>
          </a:extLst>
        </xdr:cNvPr>
        <xdr:cNvSpPr>
          <a:spLocks noChangeShapeType="1"/>
        </xdr:cNvSpPr>
      </xdr:nvSpPr>
      <xdr:spPr bwMode="auto">
        <a:xfrm>
          <a:off x="6286500" y="4610100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23</xdr:row>
      <xdr:rowOff>104775</xdr:rowOff>
    </xdr:from>
    <xdr:to>
      <xdr:col>11</xdr:col>
      <xdr:colOff>466725</xdr:colOff>
      <xdr:row>24</xdr:row>
      <xdr:rowOff>38100</xdr:rowOff>
    </xdr:to>
    <xdr:sp macro="" textlink="">
      <xdr:nvSpPr>
        <xdr:cNvPr id="85417" name="Line 425">
          <a:extLst>
            <a:ext uri="{FF2B5EF4-FFF2-40B4-BE49-F238E27FC236}">
              <a16:creationId xmlns:a16="http://schemas.microsoft.com/office/drawing/2014/main" id="{47E53AA9-57A5-46FC-BAEF-CA381C465451}"/>
            </a:ext>
          </a:extLst>
        </xdr:cNvPr>
        <xdr:cNvSpPr>
          <a:spLocks noChangeShapeType="1"/>
        </xdr:cNvSpPr>
      </xdr:nvSpPr>
      <xdr:spPr bwMode="auto">
        <a:xfrm>
          <a:off x="7172325" y="4486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24</xdr:row>
      <xdr:rowOff>38100</xdr:rowOff>
    </xdr:from>
    <xdr:to>
      <xdr:col>11</xdr:col>
      <xdr:colOff>466725</xdr:colOff>
      <xdr:row>24</xdr:row>
      <xdr:rowOff>161925</xdr:rowOff>
    </xdr:to>
    <xdr:sp macro="" textlink="">
      <xdr:nvSpPr>
        <xdr:cNvPr id="85416" name="Rectangle 424">
          <a:extLst>
            <a:ext uri="{FF2B5EF4-FFF2-40B4-BE49-F238E27FC236}">
              <a16:creationId xmlns:a16="http://schemas.microsoft.com/office/drawing/2014/main" id="{8FF941B3-EF3B-48BA-9BDB-EF980DFF7FBA}"/>
            </a:ext>
          </a:extLst>
        </xdr:cNvPr>
        <xdr:cNvSpPr>
          <a:spLocks noChangeArrowheads="1"/>
        </xdr:cNvSpPr>
      </xdr:nvSpPr>
      <xdr:spPr bwMode="auto">
        <a:xfrm>
          <a:off x="381000" y="4610100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24</xdr:row>
      <xdr:rowOff>38100</xdr:rowOff>
    </xdr:from>
    <xdr:to>
      <xdr:col>4</xdr:col>
      <xdr:colOff>381000</xdr:colOff>
      <xdr:row>24</xdr:row>
      <xdr:rowOff>161925</xdr:rowOff>
    </xdr:to>
    <xdr:sp macro="" textlink="">
      <xdr:nvSpPr>
        <xdr:cNvPr id="85415" name="Rectangle 423">
          <a:extLst>
            <a:ext uri="{FF2B5EF4-FFF2-40B4-BE49-F238E27FC236}">
              <a16:creationId xmlns:a16="http://schemas.microsoft.com/office/drawing/2014/main" id="{035603BC-A9DC-4A5E-B12D-76E1851D03DD}"/>
            </a:ext>
          </a:extLst>
        </xdr:cNvPr>
        <xdr:cNvSpPr>
          <a:spLocks noChangeArrowheads="1"/>
        </xdr:cNvSpPr>
      </xdr:nvSpPr>
      <xdr:spPr bwMode="auto">
        <a:xfrm>
          <a:off x="381000" y="4610100"/>
          <a:ext cx="2438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Bon zatrudnieniowy</a:t>
          </a:r>
        </a:p>
      </xdr:txBody>
    </xdr:sp>
    <xdr:clientData/>
  </xdr:twoCellAnchor>
  <xdr:twoCellAnchor>
    <xdr:from>
      <xdr:col>0</xdr:col>
      <xdr:colOff>381000</xdr:colOff>
      <xdr:row>24</xdr:row>
      <xdr:rowOff>38100</xdr:rowOff>
    </xdr:from>
    <xdr:to>
      <xdr:col>0</xdr:col>
      <xdr:colOff>381000</xdr:colOff>
      <xdr:row>24</xdr:row>
      <xdr:rowOff>171450</xdr:rowOff>
    </xdr:to>
    <xdr:sp macro="" textlink="">
      <xdr:nvSpPr>
        <xdr:cNvPr id="85414" name="Line 422">
          <a:extLst>
            <a:ext uri="{FF2B5EF4-FFF2-40B4-BE49-F238E27FC236}">
              <a16:creationId xmlns:a16="http://schemas.microsoft.com/office/drawing/2014/main" id="{EB05FA9D-E474-41D5-8B3D-6514A882D2B1}"/>
            </a:ext>
          </a:extLst>
        </xdr:cNvPr>
        <xdr:cNvSpPr>
          <a:spLocks noChangeShapeType="1"/>
        </xdr:cNvSpPr>
      </xdr:nvSpPr>
      <xdr:spPr bwMode="auto">
        <a:xfrm>
          <a:off x="381000" y="4610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24</xdr:row>
      <xdr:rowOff>161925</xdr:rowOff>
    </xdr:from>
    <xdr:to>
      <xdr:col>4</xdr:col>
      <xdr:colOff>381000</xdr:colOff>
      <xdr:row>24</xdr:row>
      <xdr:rowOff>161925</xdr:rowOff>
    </xdr:to>
    <xdr:sp macro="" textlink="">
      <xdr:nvSpPr>
        <xdr:cNvPr id="85413" name="Line 421">
          <a:extLst>
            <a:ext uri="{FF2B5EF4-FFF2-40B4-BE49-F238E27FC236}">
              <a16:creationId xmlns:a16="http://schemas.microsoft.com/office/drawing/2014/main" id="{920FB820-59D8-4E05-990C-E3B7EBE36D6A}"/>
            </a:ext>
          </a:extLst>
        </xdr:cNvPr>
        <xdr:cNvSpPr>
          <a:spLocks noChangeShapeType="1"/>
        </xdr:cNvSpPr>
      </xdr:nvSpPr>
      <xdr:spPr bwMode="auto">
        <a:xfrm>
          <a:off x="381000" y="473392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24</xdr:row>
      <xdr:rowOff>38100</xdr:rowOff>
    </xdr:from>
    <xdr:to>
      <xdr:col>4</xdr:col>
      <xdr:colOff>381000</xdr:colOff>
      <xdr:row>24</xdr:row>
      <xdr:rowOff>171450</xdr:rowOff>
    </xdr:to>
    <xdr:sp macro="" textlink="">
      <xdr:nvSpPr>
        <xdr:cNvPr id="85412" name="Line 420">
          <a:extLst>
            <a:ext uri="{FF2B5EF4-FFF2-40B4-BE49-F238E27FC236}">
              <a16:creationId xmlns:a16="http://schemas.microsoft.com/office/drawing/2014/main" id="{8C6F42BA-7528-494A-BA5B-292B4A2044B4}"/>
            </a:ext>
          </a:extLst>
        </xdr:cNvPr>
        <xdr:cNvSpPr>
          <a:spLocks noChangeShapeType="1"/>
        </xdr:cNvSpPr>
      </xdr:nvSpPr>
      <xdr:spPr bwMode="auto">
        <a:xfrm>
          <a:off x="2819400" y="4610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24</xdr:row>
      <xdr:rowOff>38100</xdr:rowOff>
    </xdr:from>
    <xdr:to>
      <xdr:col>5</xdr:col>
      <xdr:colOff>180975</xdr:colOff>
      <xdr:row>24</xdr:row>
      <xdr:rowOff>161925</xdr:rowOff>
    </xdr:to>
    <xdr:sp macro="" textlink="">
      <xdr:nvSpPr>
        <xdr:cNvPr id="85411" name="Rectangle 419">
          <a:extLst>
            <a:ext uri="{FF2B5EF4-FFF2-40B4-BE49-F238E27FC236}">
              <a16:creationId xmlns:a16="http://schemas.microsoft.com/office/drawing/2014/main" id="{7682075A-A0FF-4413-B972-D41FDE71EED0}"/>
            </a:ext>
          </a:extLst>
        </xdr:cNvPr>
        <xdr:cNvSpPr>
          <a:spLocks noChangeArrowheads="1"/>
        </xdr:cNvSpPr>
      </xdr:nvSpPr>
      <xdr:spPr bwMode="auto">
        <a:xfrm>
          <a:off x="2819400" y="4610100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4</xdr:col>
      <xdr:colOff>381000</xdr:colOff>
      <xdr:row>24</xdr:row>
      <xdr:rowOff>161925</xdr:rowOff>
    </xdr:from>
    <xdr:to>
      <xdr:col>5</xdr:col>
      <xdr:colOff>180975</xdr:colOff>
      <xdr:row>24</xdr:row>
      <xdr:rowOff>161925</xdr:rowOff>
    </xdr:to>
    <xdr:sp macro="" textlink="">
      <xdr:nvSpPr>
        <xdr:cNvPr id="85410" name="Line 418">
          <a:extLst>
            <a:ext uri="{FF2B5EF4-FFF2-40B4-BE49-F238E27FC236}">
              <a16:creationId xmlns:a16="http://schemas.microsoft.com/office/drawing/2014/main" id="{90D36602-495B-4545-919F-3155319D5263}"/>
            </a:ext>
          </a:extLst>
        </xdr:cNvPr>
        <xdr:cNvSpPr>
          <a:spLocks noChangeShapeType="1"/>
        </xdr:cNvSpPr>
      </xdr:nvSpPr>
      <xdr:spPr bwMode="auto">
        <a:xfrm>
          <a:off x="2819400" y="473392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24</xdr:row>
      <xdr:rowOff>38100</xdr:rowOff>
    </xdr:from>
    <xdr:to>
      <xdr:col>5</xdr:col>
      <xdr:colOff>180975</xdr:colOff>
      <xdr:row>24</xdr:row>
      <xdr:rowOff>171450</xdr:rowOff>
    </xdr:to>
    <xdr:sp macro="" textlink="">
      <xdr:nvSpPr>
        <xdr:cNvPr id="85409" name="Line 417">
          <a:extLst>
            <a:ext uri="{FF2B5EF4-FFF2-40B4-BE49-F238E27FC236}">
              <a16:creationId xmlns:a16="http://schemas.microsoft.com/office/drawing/2014/main" id="{40D2C9B0-83CE-4362-A6DB-A494499FA773}"/>
            </a:ext>
          </a:extLst>
        </xdr:cNvPr>
        <xdr:cNvSpPr>
          <a:spLocks noChangeShapeType="1"/>
        </xdr:cNvSpPr>
      </xdr:nvSpPr>
      <xdr:spPr bwMode="auto">
        <a:xfrm>
          <a:off x="3228975" y="4610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24</xdr:row>
      <xdr:rowOff>161925</xdr:rowOff>
    </xdr:from>
    <xdr:to>
      <xdr:col>7</xdr:col>
      <xdr:colOff>257175</xdr:colOff>
      <xdr:row>24</xdr:row>
      <xdr:rowOff>161925</xdr:rowOff>
    </xdr:to>
    <xdr:sp macro="" textlink="">
      <xdr:nvSpPr>
        <xdr:cNvPr id="85407" name="Line 415">
          <a:extLst>
            <a:ext uri="{FF2B5EF4-FFF2-40B4-BE49-F238E27FC236}">
              <a16:creationId xmlns:a16="http://schemas.microsoft.com/office/drawing/2014/main" id="{2B38CC78-4A4F-4AC0-980F-6E4367F5DD83}"/>
            </a:ext>
          </a:extLst>
        </xdr:cNvPr>
        <xdr:cNvSpPr>
          <a:spLocks noChangeShapeType="1"/>
        </xdr:cNvSpPr>
      </xdr:nvSpPr>
      <xdr:spPr bwMode="auto">
        <a:xfrm>
          <a:off x="3228975" y="473392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24</xdr:row>
      <xdr:rowOff>38100</xdr:rowOff>
    </xdr:from>
    <xdr:to>
      <xdr:col>7</xdr:col>
      <xdr:colOff>257175</xdr:colOff>
      <xdr:row>24</xdr:row>
      <xdr:rowOff>171450</xdr:rowOff>
    </xdr:to>
    <xdr:sp macro="" textlink="">
      <xdr:nvSpPr>
        <xdr:cNvPr id="85406" name="Line 414">
          <a:extLst>
            <a:ext uri="{FF2B5EF4-FFF2-40B4-BE49-F238E27FC236}">
              <a16:creationId xmlns:a16="http://schemas.microsoft.com/office/drawing/2014/main" id="{526A8449-A7AB-4077-A604-6CEA750CBCDE}"/>
            </a:ext>
          </a:extLst>
        </xdr:cNvPr>
        <xdr:cNvSpPr>
          <a:spLocks noChangeShapeType="1"/>
        </xdr:cNvSpPr>
      </xdr:nvSpPr>
      <xdr:spPr bwMode="auto">
        <a:xfrm>
          <a:off x="4524375" y="4610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24</xdr:row>
      <xdr:rowOff>161925</xdr:rowOff>
    </xdr:from>
    <xdr:to>
      <xdr:col>8</xdr:col>
      <xdr:colOff>523875</xdr:colOff>
      <xdr:row>24</xdr:row>
      <xdr:rowOff>161925</xdr:rowOff>
    </xdr:to>
    <xdr:sp macro="" textlink="">
      <xdr:nvSpPr>
        <xdr:cNvPr id="85404" name="Line 412">
          <a:extLst>
            <a:ext uri="{FF2B5EF4-FFF2-40B4-BE49-F238E27FC236}">
              <a16:creationId xmlns:a16="http://schemas.microsoft.com/office/drawing/2014/main" id="{6382B9CF-726A-40CF-A392-A38A346663D0}"/>
            </a:ext>
          </a:extLst>
        </xdr:cNvPr>
        <xdr:cNvSpPr>
          <a:spLocks noChangeShapeType="1"/>
        </xdr:cNvSpPr>
      </xdr:nvSpPr>
      <xdr:spPr bwMode="auto">
        <a:xfrm>
          <a:off x="4524375" y="473392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24</xdr:row>
      <xdr:rowOff>38100</xdr:rowOff>
    </xdr:from>
    <xdr:to>
      <xdr:col>8</xdr:col>
      <xdr:colOff>523875</xdr:colOff>
      <xdr:row>24</xdr:row>
      <xdr:rowOff>171450</xdr:rowOff>
    </xdr:to>
    <xdr:sp macro="" textlink="">
      <xdr:nvSpPr>
        <xdr:cNvPr id="85403" name="Line 411">
          <a:extLst>
            <a:ext uri="{FF2B5EF4-FFF2-40B4-BE49-F238E27FC236}">
              <a16:creationId xmlns:a16="http://schemas.microsoft.com/office/drawing/2014/main" id="{C5A0240E-E231-49C3-981A-65AD3C3D17B3}"/>
            </a:ext>
          </a:extLst>
        </xdr:cNvPr>
        <xdr:cNvSpPr>
          <a:spLocks noChangeShapeType="1"/>
        </xdr:cNvSpPr>
      </xdr:nvSpPr>
      <xdr:spPr bwMode="auto">
        <a:xfrm>
          <a:off x="5400675" y="4610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24</xdr:row>
      <xdr:rowOff>161925</xdr:rowOff>
    </xdr:from>
    <xdr:to>
      <xdr:col>10</xdr:col>
      <xdr:colOff>190500</xdr:colOff>
      <xdr:row>24</xdr:row>
      <xdr:rowOff>161925</xdr:rowOff>
    </xdr:to>
    <xdr:sp macro="" textlink="">
      <xdr:nvSpPr>
        <xdr:cNvPr id="85401" name="Line 409">
          <a:extLst>
            <a:ext uri="{FF2B5EF4-FFF2-40B4-BE49-F238E27FC236}">
              <a16:creationId xmlns:a16="http://schemas.microsoft.com/office/drawing/2014/main" id="{AD434451-A24F-4B4C-B029-7B99253529BE}"/>
            </a:ext>
          </a:extLst>
        </xdr:cNvPr>
        <xdr:cNvSpPr>
          <a:spLocks noChangeShapeType="1"/>
        </xdr:cNvSpPr>
      </xdr:nvSpPr>
      <xdr:spPr bwMode="auto">
        <a:xfrm>
          <a:off x="5400675" y="473392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24</xdr:row>
      <xdr:rowOff>38100</xdr:rowOff>
    </xdr:from>
    <xdr:to>
      <xdr:col>10</xdr:col>
      <xdr:colOff>190500</xdr:colOff>
      <xdr:row>24</xdr:row>
      <xdr:rowOff>171450</xdr:rowOff>
    </xdr:to>
    <xdr:sp macro="" textlink="">
      <xdr:nvSpPr>
        <xdr:cNvPr id="85400" name="Line 408">
          <a:extLst>
            <a:ext uri="{FF2B5EF4-FFF2-40B4-BE49-F238E27FC236}">
              <a16:creationId xmlns:a16="http://schemas.microsoft.com/office/drawing/2014/main" id="{E8717AF1-CBA7-48CD-A4DB-D28D796397E4}"/>
            </a:ext>
          </a:extLst>
        </xdr:cNvPr>
        <xdr:cNvSpPr>
          <a:spLocks noChangeShapeType="1"/>
        </xdr:cNvSpPr>
      </xdr:nvSpPr>
      <xdr:spPr bwMode="auto">
        <a:xfrm>
          <a:off x="6286500" y="4610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24</xdr:row>
      <xdr:rowOff>161925</xdr:rowOff>
    </xdr:from>
    <xdr:to>
      <xdr:col>11</xdr:col>
      <xdr:colOff>476250</xdr:colOff>
      <xdr:row>24</xdr:row>
      <xdr:rowOff>161925</xdr:rowOff>
    </xdr:to>
    <xdr:sp macro="" textlink="">
      <xdr:nvSpPr>
        <xdr:cNvPr id="85398" name="Line 406">
          <a:extLst>
            <a:ext uri="{FF2B5EF4-FFF2-40B4-BE49-F238E27FC236}">
              <a16:creationId xmlns:a16="http://schemas.microsoft.com/office/drawing/2014/main" id="{3186FE5F-42F1-49BE-A283-F0511CC1D0C9}"/>
            </a:ext>
          </a:extLst>
        </xdr:cNvPr>
        <xdr:cNvSpPr>
          <a:spLocks noChangeShapeType="1"/>
        </xdr:cNvSpPr>
      </xdr:nvSpPr>
      <xdr:spPr bwMode="auto">
        <a:xfrm>
          <a:off x="6286500" y="473392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24</xdr:row>
      <xdr:rowOff>38100</xdr:rowOff>
    </xdr:from>
    <xdr:to>
      <xdr:col>11</xdr:col>
      <xdr:colOff>466725</xdr:colOff>
      <xdr:row>24</xdr:row>
      <xdr:rowOff>171450</xdr:rowOff>
    </xdr:to>
    <xdr:sp macro="" textlink="">
      <xdr:nvSpPr>
        <xdr:cNvPr id="85397" name="Line 405">
          <a:extLst>
            <a:ext uri="{FF2B5EF4-FFF2-40B4-BE49-F238E27FC236}">
              <a16:creationId xmlns:a16="http://schemas.microsoft.com/office/drawing/2014/main" id="{569B0DD5-EBBA-434B-8696-0FAAE72A686F}"/>
            </a:ext>
          </a:extLst>
        </xdr:cNvPr>
        <xdr:cNvSpPr>
          <a:spLocks noChangeShapeType="1"/>
        </xdr:cNvSpPr>
      </xdr:nvSpPr>
      <xdr:spPr bwMode="auto">
        <a:xfrm>
          <a:off x="7172325" y="4610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24</xdr:row>
      <xdr:rowOff>161925</xdr:rowOff>
    </xdr:from>
    <xdr:to>
      <xdr:col>4</xdr:col>
      <xdr:colOff>381000</xdr:colOff>
      <xdr:row>25</xdr:row>
      <xdr:rowOff>95250</xdr:rowOff>
    </xdr:to>
    <xdr:sp macro="" textlink="">
      <xdr:nvSpPr>
        <xdr:cNvPr id="85395" name="Rectangle 403">
          <a:extLst>
            <a:ext uri="{FF2B5EF4-FFF2-40B4-BE49-F238E27FC236}">
              <a16:creationId xmlns:a16="http://schemas.microsoft.com/office/drawing/2014/main" id="{E06F08F7-2F1B-452A-9AD1-13B989F2ACBF}"/>
            </a:ext>
          </a:extLst>
        </xdr:cNvPr>
        <xdr:cNvSpPr>
          <a:spLocks noChangeArrowheads="1"/>
        </xdr:cNvSpPr>
      </xdr:nvSpPr>
      <xdr:spPr bwMode="auto">
        <a:xfrm>
          <a:off x="381000" y="4733925"/>
          <a:ext cx="2438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Bon na zasiedlenie</a:t>
          </a:r>
        </a:p>
      </xdr:txBody>
    </xdr:sp>
    <xdr:clientData/>
  </xdr:twoCellAnchor>
  <xdr:twoCellAnchor>
    <xdr:from>
      <xdr:col>0</xdr:col>
      <xdr:colOff>381000</xdr:colOff>
      <xdr:row>24</xdr:row>
      <xdr:rowOff>161925</xdr:rowOff>
    </xdr:from>
    <xdr:to>
      <xdr:col>0</xdr:col>
      <xdr:colOff>381000</xdr:colOff>
      <xdr:row>25</xdr:row>
      <xdr:rowOff>104775</xdr:rowOff>
    </xdr:to>
    <xdr:sp macro="" textlink="">
      <xdr:nvSpPr>
        <xdr:cNvPr id="85394" name="Line 402">
          <a:extLst>
            <a:ext uri="{FF2B5EF4-FFF2-40B4-BE49-F238E27FC236}">
              <a16:creationId xmlns:a16="http://schemas.microsoft.com/office/drawing/2014/main" id="{DF13938F-7E70-40FB-A815-C7A104110256}"/>
            </a:ext>
          </a:extLst>
        </xdr:cNvPr>
        <xdr:cNvSpPr>
          <a:spLocks noChangeShapeType="1"/>
        </xdr:cNvSpPr>
      </xdr:nvSpPr>
      <xdr:spPr bwMode="auto">
        <a:xfrm>
          <a:off x="381000" y="4733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25</xdr:row>
      <xdr:rowOff>104775</xdr:rowOff>
    </xdr:from>
    <xdr:to>
      <xdr:col>4</xdr:col>
      <xdr:colOff>381000</xdr:colOff>
      <xdr:row>25</xdr:row>
      <xdr:rowOff>104775</xdr:rowOff>
    </xdr:to>
    <xdr:sp macro="" textlink="">
      <xdr:nvSpPr>
        <xdr:cNvPr id="85393" name="Line 401">
          <a:extLst>
            <a:ext uri="{FF2B5EF4-FFF2-40B4-BE49-F238E27FC236}">
              <a16:creationId xmlns:a16="http://schemas.microsoft.com/office/drawing/2014/main" id="{A7082334-D85A-40CC-B3D8-3AA5B7B997C7}"/>
            </a:ext>
          </a:extLst>
        </xdr:cNvPr>
        <xdr:cNvSpPr>
          <a:spLocks noChangeShapeType="1"/>
        </xdr:cNvSpPr>
      </xdr:nvSpPr>
      <xdr:spPr bwMode="auto">
        <a:xfrm>
          <a:off x="381000" y="486727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24</xdr:row>
      <xdr:rowOff>161925</xdr:rowOff>
    </xdr:from>
    <xdr:to>
      <xdr:col>4</xdr:col>
      <xdr:colOff>381000</xdr:colOff>
      <xdr:row>25</xdr:row>
      <xdr:rowOff>104775</xdr:rowOff>
    </xdr:to>
    <xdr:sp macro="" textlink="">
      <xdr:nvSpPr>
        <xdr:cNvPr id="85392" name="Line 400">
          <a:extLst>
            <a:ext uri="{FF2B5EF4-FFF2-40B4-BE49-F238E27FC236}">
              <a16:creationId xmlns:a16="http://schemas.microsoft.com/office/drawing/2014/main" id="{D80EC727-C031-4CA4-99C3-5DCD567F10C1}"/>
            </a:ext>
          </a:extLst>
        </xdr:cNvPr>
        <xdr:cNvSpPr>
          <a:spLocks noChangeShapeType="1"/>
        </xdr:cNvSpPr>
      </xdr:nvSpPr>
      <xdr:spPr bwMode="auto">
        <a:xfrm>
          <a:off x="2819400" y="4733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24</xdr:row>
      <xdr:rowOff>161925</xdr:rowOff>
    </xdr:from>
    <xdr:to>
      <xdr:col>5</xdr:col>
      <xdr:colOff>180975</xdr:colOff>
      <xdr:row>25</xdr:row>
      <xdr:rowOff>95250</xdr:rowOff>
    </xdr:to>
    <xdr:sp macro="" textlink="">
      <xdr:nvSpPr>
        <xdr:cNvPr id="85391" name="Rectangle 399">
          <a:extLst>
            <a:ext uri="{FF2B5EF4-FFF2-40B4-BE49-F238E27FC236}">
              <a16:creationId xmlns:a16="http://schemas.microsoft.com/office/drawing/2014/main" id="{133CB25F-AD24-4E8E-8648-3BBF8AB181AD}"/>
            </a:ext>
          </a:extLst>
        </xdr:cNvPr>
        <xdr:cNvSpPr>
          <a:spLocks noChangeArrowheads="1"/>
        </xdr:cNvSpPr>
      </xdr:nvSpPr>
      <xdr:spPr bwMode="auto">
        <a:xfrm>
          <a:off x="2819400" y="4733925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4</xdr:col>
      <xdr:colOff>381000</xdr:colOff>
      <xdr:row>25</xdr:row>
      <xdr:rowOff>104775</xdr:rowOff>
    </xdr:from>
    <xdr:to>
      <xdr:col>5</xdr:col>
      <xdr:colOff>180975</xdr:colOff>
      <xdr:row>25</xdr:row>
      <xdr:rowOff>104775</xdr:rowOff>
    </xdr:to>
    <xdr:sp macro="" textlink="">
      <xdr:nvSpPr>
        <xdr:cNvPr id="85390" name="Line 398">
          <a:extLst>
            <a:ext uri="{FF2B5EF4-FFF2-40B4-BE49-F238E27FC236}">
              <a16:creationId xmlns:a16="http://schemas.microsoft.com/office/drawing/2014/main" id="{1F8B2966-2F58-41C7-8B4F-F8F0F60D964B}"/>
            </a:ext>
          </a:extLst>
        </xdr:cNvPr>
        <xdr:cNvSpPr>
          <a:spLocks noChangeShapeType="1"/>
        </xdr:cNvSpPr>
      </xdr:nvSpPr>
      <xdr:spPr bwMode="auto">
        <a:xfrm>
          <a:off x="2819400" y="486727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24</xdr:row>
      <xdr:rowOff>161925</xdr:rowOff>
    </xdr:from>
    <xdr:to>
      <xdr:col>5</xdr:col>
      <xdr:colOff>180975</xdr:colOff>
      <xdr:row>25</xdr:row>
      <xdr:rowOff>104775</xdr:rowOff>
    </xdr:to>
    <xdr:sp macro="" textlink="">
      <xdr:nvSpPr>
        <xdr:cNvPr id="85389" name="Line 397">
          <a:extLst>
            <a:ext uri="{FF2B5EF4-FFF2-40B4-BE49-F238E27FC236}">
              <a16:creationId xmlns:a16="http://schemas.microsoft.com/office/drawing/2014/main" id="{23860C37-9EE8-4E43-92BC-4304C900A126}"/>
            </a:ext>
          </a:extLst>
        </xdr:cNvPr>
        <xdr:cNvSpPr>
          <a:spLocks noChangeShapeType="1"/>
        </xdr:cNvSpPr>
      </xdr:nvSpPr>
      <xdr:spPr bwMode="auto">
        <a:xfrm>
          <a:off x="3228975" y="4733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25</xdr:row>
      <xdr:rowOff>104775</xdr:rowOff>
    </xdr:from>
    <xdr:to>
      <xdr:col>7</xdr:col>
      <xdr:colOff>257175</xdr:colOff>
      <xdr:row>25</xdr:row>
      <xdr:rowOff>104775</xdr:rowOff>
    </xdr:to>
    <xdr:sp macro="" textlink="">
      <xdr:nvSpPr>
        <xdr:cNvPr id="85387" name="Line 395">
          <a:extLst>
            <a:ext uri="{FF2B5EF4-FFF2-40B4-BE49-F238E27FC236}">
              <a16:creationId xmlns:a16="http://schemas.microsoft.com/office/drawing/2014/main" id="{1380E8EA-0D3B-4794-8E9F-EF0BC947833E}"/>
            </a:ext>
          </a:extLst>
        </xdr:cNvPr>
        <xdr:cNvSpPr>
          <a:spLocks noChangeShapeType="1"/>
        </xdr:cNvSpPr>
      </xdr:nvSpPr>
      <xdr:spPr bwMode="auto">
        <a:xfrm>
          <a:off x="3228975" y="486727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24</xdr:row>
      <xdr:rowOff>161925</xdr:rowOff>
    </xdr:from>
    <xdr:to>
      <xdr:col>7</xdr:col>
      <xdr:colOff>257175</xdr:colOff>
      <xdr:row>25</xdr:row>
      <xdr:rowOff>104775</xdr:rowOff>
    </xdr:to>
    <xdr:sp macro="" textlink="">
      <xdr:nvSpPr>
        <xdr:cNvPr id="85386" name="Line 394">
          <a:extLst>
            <a:ext uri="{FF2B5EF4-FFF2-40B4-BE49-F238E27FC236}">
              <a16:creationId xmlns:a16="http://schemas.microsoft.com/office/drawing/2014/main" id="{723AFEF0-8F74-44D1-BCA0-C2C9B6C34B45}"/>
            </a:ext>
          </a:extLst>
        </xdr:cNvPr>
        <xdr:cNvSpPr>
          <a:spLocks noChangeShapeType="1"/>
        </xdr:cNvSpPr>
      </xdr:nvSpPr>
      <xdr:spPr bwMode="auto">
        <a:xfrm>
          <a:off x="4524375" y="4733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25</xdr:row>
      <xdr:rowOff>104775</xdr:rowOff>
    </xdr:from>
    <xdr:to>
      <xdr:col>8</xdr:col>
      <xdr:colOff>523875</xdr:colOff>
      <xdr:row>25</xdr:row>
      <xdr:rowOff>104775</xdr:rowOff>
    </xdr:to>
    <xdr:sp macro="" textlink="">
      <xdr:nvSpPr>
        <xdr:cNvPr id="85384" name="Line 392">
          <a:extLst>
            <a:ext uri="{FF2B5EF4-FFF2-40B4-BE49-F238E27FC236}">
              <a16:creationId xmlns:a16="http://schemas.microsoft.com/office/drawing/2014/main" id="{14ADF8CF-2FA7-4533-B3E6-37304D547AB3}"/>
            </a:ext>
          </a:extLst>
        </xdr:cNvPr>
        <xdr:cNvSpPr>
          <a:spLocks noChangeShapeType="1"/>
        </xdr:cNvSpPr>
      </xdr:nvSpPr>
      <xdr:spPr bwMode="auto">
        <a:xfrm>
          <a:off x="4524375" y="486727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24</xdr:row>
      <xdr:rowOff>161925</xdr:rowOff>
    </xdr:from>
    <xdr:to>
      <xdr:col>8</xdr:col>
      <xdr:colOff>523875</xdr:colOff>
      <xdr:row>25</xdr:row>
      <xdr:rowOff>104775</xdr:rowOff>
    </xdr:to>
    <xdr:sp macro="" textlink="">
      <xdr:nvSpPr>
        <xdr:cNvPr id="85383" name="Line 391">
          <a:extLst>
            <a:ext uri="{FF2B5EF4-FFF2-40B4-BE49-F238E27FC236}">
              <a16:creationId xmlns:a16="http://schemas.microsoft.com/office/drawing/2014/main" id="{AD163BB0-96CC-4792-BE92-F9A9D83EE9B9}"/>
            </a:ext>
          </a:extLst>
        </xdr:cNvPr>
        <xdr:cNvSpPr>
          <a:spLocks noChangeShapeType="1"/>
        </xdr:cNvSpPr>
      </xdr:nvSpPr>
      <xdr:spPr bwMode="auto">
        <a:xfrm>
          <a:off x="5400675" y="4733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25</xdr:row>
      <xdr:rowOff>104775</xdr:rowOff>
    </xdr:from>
    <xdr:to>
      <xdr:col>10</xdr:col>
      <xdr:colOff>190500</xdr:colOff>
      <xdr:row>25</xdr:row>
      <xdr:rowOff>104775</xdr:rowOff>
    </xdr:to>
    <xdr:sp macro="" textlink="">
      <xdr:nvSpPr>
        <xdr:cNvPr id="85381" name="Line 389">
          <a:extLst>
            <a:ext uri="{FF2B5EF4-FFF2-40B4-BE49-F238E27FC236}">
              <a16:creationId xmlns:a16="http://schemas.microsoft.com/office/drawing/2014/main" id="{372812E3-1778-40B0-B264-573A0DE308F0}"/>
            </a:ext>
          </a:extLst>
        </xdr:cNvPr>
        <xdr:cNvSpPr>
          <a:spLocks noChangeShapeType="1"/>
        </xdr:cNvSpPr>
      </xdr:nvSpPr>
      <xdr:spPr bwMode="auto">
        <a:xfrm>
          <a:off x="5400675" y="486727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24</xdr:row>
      <xdr:rowOff>161925</xdr:rowOff>
    </xdr:from>
    <xdr:to>
      <xdr:col>10</xdr:col>
      <xdr:colOff>190500</xdr:colOff>
      <xdr:row>25</xdr:row>
      <xdr:rowOff>104775</xdr:rowOff>
    </xdr:to>
    <xdr:sp macro="" textlink="">
      <xdr:nvSpPr>
        <xdr:cNvPr id="85380" name="Line 388">
          <a:extLst>
            <a:ext uri="{FF2B5EF4-FFF2-40B4-BE49-F238E27FC236}">
              <a16:creationId xmlns:a16="http://schemas.microsoft.com/office/drawing/2014/main" id="{4B2909D3-C0D0-417E-9D3F-1EFFD17CCA8D}"/>
            </a:ext>
          </a:extLst>
        </xdr:cNvPr>
        <xdr:cNvSpPr>
          <a:spLocks noChangeShapeType="1"/>
        </xdr:cNvSpPr>
      </xdr:nvSpPr>
      <xdr:spPr bwMode="auto">
        <a:xfrm>
          <a:off x="6286500" y="4733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25</xdr:row>
      <xdr:rowOff>104775</xdr:rowOff>
    </xdr:from>
    <xdr:to>
      <xdr:col>11</xdr:col>
      <xdr:colOff>476250</xdr:colOff>
      <xdr:row>25</xdr:row>
      <xdr:rowOff>104775</xdr:rowOff>
    </xdr:to>
    <xdr:sp macro="" textlink="">
      <xdr:nvSpPr>
        <xdr:cNvPr id="85378" name="Line 386">
          <a:extLst>
            <a:ext uri="{FF2B5EF4-FFF2-40B4-BE49-F238E27FC236}">
              <a16:creationId xmlns:a16="http://schemas.microsoft.com/office/drawing/2014/main" id="{E620BC3A-CD03-493A-9D5A-7DFA5E5B492F}"/>
            </a:ext>
          </a:extLst>
        </xdr:cNvPr>
        <xdr:cNvSpPr>
          <a:spLocks noChangeShapeType="1"/>
        </xdr:cNvSpPr>
      </xdr:nvSpPr>
      <xdr:spPr bwMode="auto">
        <a:xfrm>
          <a:off x="6286500" y="486727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24</xdr:row>
      <xdr:rowOff>161925</xdr:rowOff>
    </xdr:from>
    <xdr:to>
      <xdr:col>11</xdr:col>
      <xdr:colOff>466725</xdr:colOff>
      <xdr:row>25</xdr:row>
      <xdr:rowOff>104775</xdr:rowOff>
    </xdr:to>
    <xdr:sp macro="" textlink="">
      <xdr:nvSpPr>
        <xdr:cNvPr id="85377" name="Line 385">
          <a:extLst>
            <a:ext uri="{FF2B5EF4-FFF2-40B4-BE49-F238E27FC236}">
              <a16:creationId xmlns:a16="http://schemas.microsoft.com/office/drawing/2014/main" id="{43800D43-B819-4B43-9124-CF77D269E9A1}"/>
            </a:ext>
          </a:extLst>
        </xdr:cNvPr>
        <xdr:cNvSpPr>
          <a:spLocks noChangeShapeType="1"/>
        </xdr:cNvSpPr>
      </xdr:nvSpPr>
      <xdr:spPr bwMode="auto">
        <a:xfrm>
          <a:off x="7172325" y="4733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25</xdr:row>
      <xdr:rowOff>104775</xdr:rowOff>
    </xdr:from>
    <xdr:to>
      <xdr:col>11</xdr:col>
      <xdr:colOff>466725</xdr:colOff>
      <xdr:row>26</xdr:row>
      <xdr:rowOff>171450</xdr:rowOff>
    </xdr:to>
    <xdr:sp macro="" textlink="">
      <xdr:nvSpPr>
        <xdr:cNvPr id="85376" name="Rectangle 384">
          <a:extLst>
            <a:ext uri="{FF2B5EF4-FFF2-40B4-BE49-F238E27FC236}">
              <a16:creationId xmlns:a16="http://schemas.microsoft.com/office/drawing/2014/main" id="{D1BF33F8-52C5-4304-9F21-2E31B3F352E6}"/>
            </a:ext>
          </a:extLst>
        </xdr:cNvPr>
        <xdr:cNvSpPr>
          <a:spLocks noChangeArrowheads="1"/>
        </xdr:cNvSpPr>
      </xdr:nvSpPr>
      <xdr:spPr bwMode="auto">
        <a:xfrm>
          <a:off x="381000" y="4867275"/>
          <a:ext cx="6791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25</xdr:row>
      <xdr:rowOff>104775</xdr:rowOff>
    </xdr:from>
    <xdr:to>
      <xdr:col>4</xdr:col>
      <xdr:colOff>381000</xdr:colOff>
      <xdr:row>26</xdr:row>
      <xdr:rowOff>171450</xdr:rowOff>
    </xdr:to>
    <xdr:sp macro="" textlink="">
      <xdr:nvSpPr>
        <xdr:cNvPr id="85375" name="Rectangle 383">
          <a:extLst>
            <a:ext uri="{FF2B5EF4-FFF2-40B4-BE49-F238E27FC236}">
              <a16:creationId xmlns:a16="http://schemas.microsoft.com/office/drawing/2014/main" id="{DE32502C-F1C6-4C64-9E32-40ABFC2A422F}"/>
            </a:ext>
          </a:extLst>
        </xdr:cNvPr>
        <xdr:cNvSpPr>
          <a:spLocks noChangeArrowheads="1"/>
        </xdr:cNvSpPr>
      </xdr:nvSpPr>
      <xdr:spPr bwMode="auto">
        <a:xfrm>
          <a:off x="381000" y="4867275"/>
          <a:ext cx="2438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Dofinansowanie wynagrodzenia skierowanych bezrob. powyżej 50 r.ż.</a:t>
          </a:r>
        </a:p>
      </xdr:txBody>
    </xdr:sp>
    <xdr:clientData/>
  </xdr:twoCellAnchor>
  <xdr:twoCellAnchor>
    <xdr:from>
      <xdr:col>0</xdr:col>
      <xdr:colOff>381000</xdr:colOff>
      <xdr:row>25</xdr:row>
      <xdr:rowOff>104775</xdr:rowOff>
    </xdr:from>
    <xdr:to>
      <xdr:col>0</xdr:col>
      <xdr:colOff>381000</xdr:colOff>
      <xdr:row>26</xdr:row>
      <xdr:rowOff>171450</xdr:rowOff>
    </xdr:to>
    <xdr:sp macro="" textlink="">
      <xdr:nvSpPr>
        <xdr:cNvPr id="85374" name="Line 382">
          <a:extLst>
            <a:ext uri="{FF2B5EF4-FFF2-40B4-BE49-F238E27FC236}">
              <a16:creationId xmlns:a16="http://schemas.microsoft.com/office/drawing/2014/main" id="{0A46E47F-DA60-4D10-9034-F99DF912114B}"/>
            </a:ext>
          </a:extLst>
        </xdr:cNvPr>
        <xdr:cNvSpPr>
          <a:spLocks noChangeShapeType="1"/>
        </xdr:cNvSpPr>
      </xdr:nvSpPr>
      <xdr:spPr bwMode="auto">
        <a:xfrm>
          <a:off x="381000" y="4867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26</xdr:row>
      <xdr:rowOff>161925</xdr:rowOff>
    </xdr:from>
    <xdr:to>
      <xdr:col>4</xdr:col>
      <xdr:colOff>381000</xdr:colOff>
      <xdr:row>26</xdr:row>
      <xdr:rowOff>161925</xdr:rowOff>
    </xdr:to>
    <xdr:sp macro="" textlink="">
      <xdr:nvSpPr>
        <xdr:cNvPr id="85373" name="Line 381">
          <a:extLst>
            <a:ext uri="{FF2B5EF4-FFF2-40B4-BE49-F238E27FC236}">
              <a16:creationId xmlns:a16="http://schemas.microsoft.com/office/drawing/2014/main" id="{CCEF38E1-B76B-4AB1-8589-2F0510303AEB}"/>
            </a:ext>
          </a:extLst>
        </xdr:cNvPr>
        <xdr:cNvSpPr>
          <a:spLocks noChangeShapeType="1"/>
        </xdr:cNvSpPr>
      </xdr:nvSpPr>
      <xdr:spPr bwMode="auto">
        <a:xfrm>
          <a:off x="381000" y="511492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25</xdr:row>
      <xdr:rowOff>104775</xdr:rowOff>
    </xdr:from>
    <xdr:to>
      <xdr:col>4</xdr:col>
      <xdr:colOff>381000</xdr:colOff>
      <xdr:row>26</xdr:row>
      <xdr:rowOff>171450</xdr:rowOff>
    </xdr:to>
    <xdr:sp macro="" textlink="">
      <xdr:nvSpPr>
        <xdr:cNvPr id="85372" name="Line 380">
          <a:extLst>
            <a:ext uri="{FF2B5EF4-FFF2-40B4-BE49-F238E27FC236}">
              <a16:creationId xmlns:a16="http://schemas.microsoft.com/office/drawing/2014/main" id="{AB30251F-DF34-40AD-B929-42F930CDF4F4}"/>
            </a:ext>
          </a:extLst>
        </xdr:cNvPr>
        <xdr:cNvSpPr>
          <a:spLocks noChangeShapeType="1"/>
        </xdr:cNvSpPr>
      </xdr:nvSpPr>
      <xdr:spPr bwMode="auto">
        <a:xfrm>
          <a:off x="2819400" y="4867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25</xdr:row>
      <xdr:rowOff>104775</xdr:rowOff>
    </xdr:from>
    <xdr:to>
      <xdr:col>5</xdr:col>
      <xdr:colOff>180975</xdr:colOff>
      <xdr:row>26</xdr:row>
      <xdr:rowOff>171450</xdr:rowOff>
    </xdr:to>
    <xdr:sp macro="" textlink="">
      <xdr:nvSpPr>
        <xdr:cNvPr id="85371" name="Rectangle 379">
          <a:extLst>
            <a:ext uri="{FF2B5EF4-FFF2-40B4-BE49-F238E27FC236}">
              <a16:creationId xmlns:a16="http://schemas.microsoft.com/office/drawing/2014/main" id="{68261D77-FDA2-43E0-AEAE-673E9F422779}"/>
            </a:ext>
          </a:extLst>
        </xdr:cNvPr>
        <xdr:cNvSpPr>
          <a:spLocks noChangeArrowheads="1"/>
        </xdr:cNvSpPr>
      </xdr:nvSpPr>
      <xdr:spPr bwMode="auto">
        <a:xfrm>
          <a:off x="2819400" y="4867275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6350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4</xdr:col>
      <xdr:colOff>381000</xdr:colOff>
      <xdr:row>26</xdr:row>
      <xdr:rowOff>161925</xdr:rowOff>
    </xdr:from>
    <xdr:to>
      <xdr:col>5</xdr:col>
      <xdr:colOff>180975</xdr:colOff>
      <xdr:row>26</xdr:row>
      <xdr:rowOff>161925</xdr:rowOff>
    </xdr:to>
    <xdr:sp macro="" textlink="">
      <xdr:nvSpPr>
        <xdr:cNvPr id="85370" name="Line 378">
          <a:extLst>
            <a:ext uri="{FF2B5EF4-FFF2-40B4-BE49-F238E27FC236}">
              <a16:creationId xmlns:a16="http://schemas.microsoft.com/office/drawing/2014/main" id="{8B2701D4-6929-4FAC-B258-BF27732561AE}"/>
            </a:ext>
          </a:extLst>
        </xdr:cNvPr>
        <xdr:cNvSpPr>
          <a:spLocks noChangeShapeType="1"/>
        </xdr:cNvSpPr>
      </xdr:nvSpPr>
      <xdr:spPr bwMode="auto">
        <a:xfrm>
          <a:off x="2819400" y="511492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25</xdr:row>
      <xdr:rowOff>104775</xdr:rowOff>
    </xdr:from>
    <xdr:to>
      <xdr:col>5</xdr:col>
      <xdr:colOff>180975</xdr:colOff>
      <xdr:row>26</xdr:row>
      <xdr:rowOff>171450</xdr:rowOff>
    </xdr:to>
    <xdr:sp macro="" textlink="">
      <xdr:nvSpPr>
        <xdr:cNvPr id="85369" name="Line 377">
          <a:extLst>
            <a:ext uri="{FF2B5EF4-FFF2-40B4-BE49-F238E27FC236}">
              <a16:creationId xmlns:a16="http://schemas.microsoft.com/office/drawing/2014/main" id="{14082B20-E1C8-486E-A30E-99533FD37074}"/>
            </a:ext>
          </a:extLst>
        </xdr:cNvPr>
        <xdr:cNvSpPr>
          <a:spLocks noChangeShapeType="1"/>
        </xdr:cNvSpPr>
      </xdr:nvSpPr>
      <xdr:spPr bwMode="auto">
        <a:xfrm>
          <a:off x="3228975" y="4867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26</xdr:row>
      <xdr:rowOff>161925</xdr:rowOff>
    </xdr:from>
    <xdr:to>
      <xdr:col>7</xdr:col>
      <xdr:colOff>257175</xdr:colOff>
      <xdr:row>26</xdr:row>
      <xdr:rowOff>161925</xdr:rowOff>
    </xdr:to>
    <xdr:sp macro="" textlink="">
      <xdr:nvSpPr>
        <xdr:cNvPr id="85367" name="Line 375">
          <a:extLst>
            <a:ext uri="{FF2B5EF4-FFF2-40B4-BE49-F238E27FC236}">
              <a16:creationId xmlns:a16="http://schemas.microsoft.com/office/drawing/2014/main" id="{A28559A0-41BF-4235-8CF1-313EA286CFAC}"/>
            </a:ext>
          </a:extLst>
        </xdr:cNvPr>
        <xdr:cNvSpPr>
          <a:spLocks noChangeShapeType="1"/>
        </xdr:cNvSpPr>
      </xdr:nvSpPr>
      <xdr:spPr bwMode="auto">
        <a:xfrm>
          <a:off x="3228975" y="511492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25</xdr:row>
      <xdr:rowOff>104775</xdr:rowOff>
    </xdr:from>
    <xdr:to>
      <xdr:col>7</xdr:col>
      <xdr:colOff>257175</xdr:colOff>
      <xdr:row>26</xdr:row>
      <xdr:rowOff>171450</xdr:rowOff>
    </xdr:to>
    <xdr:sp macro="" textlink="">
      <xdr:nvSpPr>
        <xdr:cNvPr id="85366" name="Line 374">
          <a:extLst>
            <a:ext uri="{FF2B5EF4-FFF2-40B4-BE49-F238E27FC236}">
              <a16:creationId xmlns:a16="http://schemas.microsoft.com/office/drawing/2014/main" id="{D63BBD1A-965B-488C-ABE0-AA6AA761F37D}"/>
            </a:ext>
          </a:extLst>
        </xdr:cNvPr>
        <xdr:cNvSpPr>
          <a:spLocks noChangeShapeType="1"/>
        </xdr:cNvSpPr>
      </xdr:nvSpPr>
      <xdr:spPr bwMode="auto">
        <a:xfrm>
          <a:off x="4524375" y="4867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26</xdr:row>
      <xdr:rowOff>161925</xdr:rowOff>
    </xdr:from>
    <xdr:to>
      <xdr:col>8</xdr:col>
      <xdr:colOff>523875</xdr:colOff>
      <xdr:row>26</xdr:row>
      <xdr:rowOff>161925</xdr:rowOff>
    </xdr:to>
    <xdr:sp macro="" textlink="">
      <xdr:nvSpPr>
        <xdr:cNvPr id="85364" name="Line 372">
          <a:extLst>
            <a:ext uri="{FF2B5EF4-FFF2-40B4-BE49-F238E27FC236}">
              <a16:creationId xmlns:a16="http://schemas.microsoft.com/office/drawing/2014/main" id="{63723026-00FE-44B2-86EB-64F8F38D77A4}"/>
            </a:ext>
          </a:extLst>
        </xdr:cNvPr>
        <xdr:cNvSpPr>
          <a:spLocks noChangeShapeType="1"/>
        </xdr:cNvSpPr>
      </xdr:nvSpPr>
      <xdr:spPr bwMode="auto">
        <a:xfrm>
          <a:off x="4524375" y="511492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25</xdr:row>
      <xdr:rowOff>104775</xdr:rowOff>
    </xdr:from>
    <xdr:to>
      <xdr:col>8</xdr:col>
      <xdr:colOff>523875</xdr:colOff>
      <xdr:row>26</xdr:row>
      <xdr:rowOff>171450</xdr:rowOff>
    </xdr:to>
    <xdr:sp macro="" textlink="">
      <xdr:nvSpPr>
        <xdr:cNvPr id="85363" name="Line 371">
          <a:extLst>
            <a:ext uri="{FF2B5EF4-FFF2-40B4-BE49-F238E27FC236}">
              <a16:creationId xmlns:a16="http://schemas.microsoft.com/office/drawing/2014/main" id="{F711A42A-1AFD-4509-9A65-83E780775385}"/>
            </a:ext>
          </a:extLst>
        </xdr:cNvPr>
        <xdr:cNvSpPr>
          <a:spLocks noChangeShapeType="1"/>
        </xdr:cNvSpPr>
      </xdr:nvSpPr>
      <xdr:spPr bwMode="auto">
        <a:xfrm>
          <a:off x="5400675" y="4867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26</xdr:row>
      <xdr:rowOff>161925</xdr:rowOff>
    </xdr:from>
    <xdr:to>
      <xdr:col>10</xdr:col>
      <xdr:colOff>190500</xdr:colOff>
      <xdr:row>26</xdr:row>
      <xdr:rowOff>161925</xdr:rowOff>
    </xdr:to>
    <xdr:sp macro="" textlink="">
      <xdr:nvSpPr>
        <xdr:cNvPr id="85361" name="Line 369">
          <a:extLst>
            <a:ext uri="{FF2B5EF4-FFF2-40B4-BE49-F238E27FC236}">
              <a16:creationId xmlns:a16="http://schemas.microsoft.com/office/drawing/2014/main" id="{B8B81B81-498A-4D58-977C-49AE6D051985}"/>
            </a:ext>
          </a:extLst>
        </xdr:cNvPr>
        <xdr:cNvSpPr>
          <a:spLocks noChangeShapeType="1"/>
        </xdr:cNvSpPr>
      </xdr:nvSpPr>
      <xdr:spPr bwMode="auto">
        <a:xfrm>
          <a:off x="5400675" y="511492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25</xdr:row>
      <xdr:rowOff>104775</xdr:rowOff>
    </xdr:from>
    <xdr:to>
      <xdr:col>10</xdr:col>
      <xdr:colOff>190500</xdr:colOff>
      <xdr:row>26</xdr:row>
      <xdr:rowOff>171450</xdr:rowOff>
    </xdr:to>
    <xdr:sp macro="" textlink="">
      <xdr:nvSpPr>
        <xdr:cNvPr id="85360" name="Line 368">
          <a:extLst>
            <a:ext uri="{FF2B5EF4-FFF2-40B4-BE49-F238E27FC236}">
              <a16:creationId xmlns:a16="http://schemas.microsoft.com/office/drawing/2014/main" id="{7EBC1983-38A3-4283-8A14-46F9555E9F7C}"/>
            </a:ext>
          </a:extLst>
        </xdr:cNvPr>
        <xdr:cNvSpPr>
          <a:spLocks noChangeShapeType="1"/>
        </xdr:cNvSpPr>
      </xdr:nvSpPr>
      <xdr:spPr bwMode="auto">
        <a:xfrm>
          <a:off x="6286500" y="4867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26</xdr:row>
      <xdr:rowOff>161925</xdr:rowOff>
    </xdr:from>
    <xdr:to>
      <xdr:col>11</xdr:col>
      <xdr:colOff>476250</xdr:colOff>
      <xdr:row>26</xdr:row>
      <xdr:rowOff>161925</xdr:rowOff>
    </xdr:to>
    <xdr:sp macro="" textlink="">
      <xdr:nvSpPr>
        <xdr:cNvPr id="85358" name="Line 366">
          <a:extLst>
            <a:ext uri="{FF2B5EF4-FFF2-40B4-BE49-F238E27FC236}">
              <a16:creationId xmlns:a16="http://schemas.microsoft.com/office/drawing/2014/main" id="{69A7E480-93F8-4558-A039-44A6EA1E6CF1}"/>
            </a:ext>
          </a:extLst>
        </xdr:cNvPr>
        <xdr:cNvSpPr>
          <a:spLocks noChangeShapeType="1"/>
        </xdr:cNvSpPr>
      </xdr:nvSpPr>
      <xdr:spPr bwMode="auto">
        <a:xfrm>
          <a:off x="6286500" y="511492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25</xdr:row>
      <xdr:rowOff>104775</xdr:rowOff>
    </xdr:from>
    <xdr:to>
      <xdr:col>11</xdr:col>
      <xdr:colOff>466725</xdr:colOff>
      <xdr:row>26</xdr:row>
      <xdr:rowOff>171450</xdr:rowOff>
    </xdr:to>
    <xdr:sp macro="" textlink="">
      <xdr:nvSpPr>
        <xdr:cNvPr id="85357" name="Line 365">
          <a:extLst>
            <a:ext uri="{FF2B5EF4-FFF2-40B4-BE49-F238E27FC236}">
              <a16:creationId xmlns:a16="http://schemas.microsoft.com/office/drawing/2014/main" id="{35BAD868-12E8-41B2-99F0-6F82C2FB82AB}"/>
            </a:ext>
          </a:extLst>
        </xdr:cNvPr>
        <xdr:cNvSpPr>
          <a:spLocks noChangeShapeType="1"/>
        </xdr:cNvSpPr>
      </xdr:nvSpPr>
      <xdr:spPr bwMode="auto">
        <a:xfrm>
          <a:off x="7172325" y="4867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26</xdr:row>
      <xdr:rowOff>161925</xdr:rowOff>
    </xdr:from>
    <xdr:to>
      <xdr:col>11</xdr:col>
      <xdr:colOff>466725</xdr:colOff>
      <xdr:row>27</xdr:row>
      <xdr:rowOff>95250</xdr:rowOff>
    </xdr:to>
    <xdr:sp macro="" textlink="">
      <xdr:nvSpPr>
        <xdr:cNvPr id="85356" name="Rectangle 364">
          <a:extLst>
            <a:ext uri="{FF2B5EF4-FFF2-40B4-BE49-F238E27FC236}">
              <a16:creationId xmlns:a16="http://schemas.microsoft.com/office/drawing/2014/main" id="{AFD73665-0BD2-447C-800C-4B209B204613}"/>
            </a:ext>
          </a:extLst>
        </xdr:cNvPr>
        <xdr:cNvSpPr>
          <a:spLocks noChangeArrowheads="1"/>
        </xdr:cNvSpPr>
      </xdr:nvSpPr>
      <xdr:spPr bwMode="auto">
        <a:xfrm>
          <a:off x="381000" y="5114925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26</xdr:row>
      <xdr:rowOff>161925</xdr:rowOff>
    </xdr:from>
    <xdr:to>
      <xdr:col>4</xdr:col>
      <xdr:colOff>381000</xdr:colOff>
      <xdr:row>27</xdr:row>
      <xdr:rowOff>95250</xdr:rowOff>
    </xdr:to>
    <xdr:sp macro="" textlink="">
      <xdr:nvSpPr>
        <xdr:cNvPr id="85355" name="Rectangle 363">
          <a:extLst>
            <a:ext uri="{FF2B5EF4-FFF2-40B4-BE49-F238E27FC236}">
              <a16:creationId xmlns:a16="http://schemas.microsoft.com/office/drawing/2014/main" id="{2D3133CE-2A3E-4D49-80BD-7A87BEBD7264}"/>
            </a:ext>
          </a:extLst>
        </xdr:cNvPr>
        <xdr:cNvSpPr>
          <a:spLocks noChangeArrowheads="1"/>
        </xdr:cNvSpPr>
      </xdr:nvSpPr>
      <xdr:spPr bwMode="auto">
        <a:xfrm>
          <a:off x="381000" y="5114925"/>
          <a:ext cx="2438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Świadczenie aktywizacyjne</a:t>
          </a:r>
        </a:p>
      </xdr:txBody>
    </xdr:sp>
    <xdr:clientData/>
  </xdr:twoCellAnchor>
  <xdr:twoCellAnchor>
    <xdr:from>
      <xdr:col>0</xdr:col>
      <xdr:colOff>381000</xdr:colOff>
      <xdr:row>26</xdr:row>
      <xdr:rowOff>161925</xdr:rowOff>
    </xdr:from>
    <xdr:to>
      <xdr:col>0</xdr:col>
      <xdr:colOff>381000</xdr:colOff>
      <xdr:row>27</xdr:row>
      <xdr:rowOff>104775</xdr:rowOff>
    </xdr:to>
    <xdr:sp macro="" textlink="">
      <xdr:nvSpPr>
        <xdr:cNvPr id="85354" name="Line 362">
          <a:extLst>
            <a:ext uri="{FF2B5EF4-FFF2-40B4-BE49-F238E27FC236}">
              <a16:creationId xmlns:a16="http://schemas.microsoft.com/office/drawing/2014/main" id="{DBE806E4-ED5D-4604-9110-F912AECD108E}"/>
            </a:ext>
          </a:extLst>
        </xdr:cNvPr>
        <xdr:cNvSpPr>
          <a:spLocks noChangeShapeType="1"/>
        </xdr:cNvSpPr>
      </xdr:nvSpPr>
      <xdr:spPr bwMode="auto">
        <a:xfrm>
          <a:off x="381000" y="5114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27</xdr:row>
      <xdr:rowOff>104775</xdr:rowOff>
    </xdr:from>
    <xdr:to>
      <xdr:col>4</xdr:col>
      <xdr:colOff>381000</xdr:colOff>
      <xdr:row>27</xdr:row>
      <xdr:rowOff>104775</xdr:rowOff>
    </xdr:to>
    <xdr:sp macro="" textlink="">
      <xdr:nvSpPr>
        <xdr:cNvPr id="85353" name="Line 361">
          <a:extLst>
            <a:ext uri="{FF2B5EF4-FFF2-40B4-BE49-F238E27FC236}">
              <a16:creationId xmlns:a16="http://schemas.microsoft.com/office/drawing/2014/main" id="{8338F9BF-1C86-4F30-A442-40B4F33631F9}"/>
            </a:ext>
          </a:extLst>
        </xdr:cNvPr>
        <xdr:cNvSpPr>
          <a:spLocks noChangeShapeType="1"/>
        </xdr:cNvSpPr>
      </xdr:nvSpPr>
      <xdr:spPr bwMode="auto">
        <a:xfrm>
          <a:off x="381000" y="524827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26</xdr:row>
      <xdr:rowOff>161925</xdr:rowOff>
    </xdr:from>
    <xdr:to>
      <xdr:col>4</xdr:col>
      <xdr:colOff>381000</xdr:colOff>
      <xdr:row>27</xdr:row>
      <xdr:rowOff>104775</xdr:rowOff>
    </xdr:to>
    <xdr:sp macro="" textlink="">
      <xdr:nvSpPr>
        <xdr:cNvPr id="85352" name="Line 360">
          <a:extLst>
            <a:ext uri="{FF2B5EF4-FFF2-40B4-BE49-F238E27FC236}">
              <a16:creationId xmlns:a16="http://schemas.microsoft.com/office/drawing/2014/main" id="{7ED081E9-D572-4715-A84C-A20F2960389A}"/>
            </a:ext>
          </a:extLst>
        </xdr:cNvPr>
        <xdr:cNvSpPr>
          <a:spLocks noChangeShapeType="1"/>
        </xdr:cNvSpPr>
      </xdr:nvSpPr>
      <xdr:spPr bwMode="auto">
        <a:xfrm>
          <a:off x="2819400" y="5114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26</xdr:row>
      <xdr:rowOff>161925</xdr:rowOff>
    </xdr:from>
    <xdr:to>
      <xdr:col>5</xdr:col>
      <xdr:colOff>180975</xdr:colOff>
      <xdr:row>27</xdr:row>
      <xdr:rowOff>95250</xdr:rowOff>
    </xdr:to>
    <xdr:sp macro="" textlink="">
      <xdr:nvSpPr>
        <xdr:cNvPr id="85351" name="Rectangle 359">
          <a:extLst>
            <a:ext uri="{FF2B5EF4-FFF2-40B4-BE49-F238E27FC236}">
              <a16:creationId xmlns:a16="http://schemas.microsoft.com/office/drawing/2014/main" id="{391A5AFC-FA3D-4C11-B655-496B2DB19BB6}"/>
            </a:ext>
          </a:extLst>
        </xdr:cNvPr>
        <xdr:cNvSpPr>
          <a:spLocks noChangeArrowheads="1"/>
        </xdr:cNvSpPr>
      </xdr:nvSpPr>
      <xdr:spPr bwMode="auto">
        <a:xfrm>
          <a:off x="2819400" y="5114925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4</xdr:col>
      <xdr:colOff>381000</xdr:colOff>
      <xdr:row>27</xdr:row>
      <xdr:rowOff>104775</xdr:rowOff>
    </xdr:from>
    <xdr:to>
      <xdr:col>5</xdr:col>
      <xdr:colOff>180975</xdr:colOff>
      <xdr:row>27</xdr:row>
      <xdr:rowOff>104775</xdr:rowOff>
    </xdr:to>
    <xdr:sp macro="" textlink="">
      <xdr:nvSpPr>
        <xdr:cNvPr id="85350" name="Line 358">
          <a:extLst>
            <a:ext uri="{FF2B5EF4-FFF2-40B4-BE49-F238E27FC236}">
              <a16:creationId xmlns:a16="http://schemas.microsoft.com/office/drawing/2014/main" id="{C34A4023-193B-497E-8A68-DB6C35A02A7D}"/>
            </a:ext>
          </a:extLst>
        </xdr:cNvPr>
        <xdr:cNvSpPr>
          <a:spLocks noChangeShapeType="1"/>
        </xdr:cNvSpPr>
      </xdr:nvSpPr>
      <xdr:spPr bwMode="auto">
        <a:xfrm>
          <a:off x="2819400" y="524827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26</xdr:row>
      <xdr:rowOff>161925</xdr:rowOff>
    </xdr:from>
    <xdr:to>
      <xdr:col>5</xdr:col>
      <xdr:colOff>180975</xdr:colOff>
      <xdr:row>27</xdr:row>
      <xdr:rowOff>104775</xdr:rowOff>
    </xdr:to>
    <xdr:sp macro="" textlink="">
      <xdr:nvSpPr>
        <xdr:cNvPr id="85349" name="Line 357">
          <a:extLst>
            <a:ext uri="{FF2B5EF4-FFF2-40B4-BE49-F238E27FC236}">
              <a16:creationId xmlns:a16="http://schemas.microsoft.com/office/drawing/2014/main" id="{74A2AE34-85C1-469C-BAA6-4F7659F5E5CA}"/>
            </a:ext>
          </a:extLst>
        </xdr:cNvPr>
        <xdr:cNvSpPr>
          <a:spLocks noChangeShapeType="1"/>
        </xdr:cNvSpPr>
      </xdr:nvSpPr>
      <xdr:spPr bwMode="auto">
        <a:xfrm>
          <a:off x="3228975" y="5114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27</xdr:row>
      <xdr:rowOff>104775</xdr:rowOff>
    </xdr:from>
    <xdr:to>
      <xdr:col>7</xdr:col>
      <xdr:colOff>257175</xdr:colOff>
      <xdr:row>27</xdr:row>
      <xdr:rowOff>104775</xdr:rowOff>
    </xdr:to>
    <xdr:sp macro="" textlink="">
      <xdr:nvSpPr>
        <xdr:cNvPr id="85347" name="Line 355">
          <a:extLst>
            <a:ext uri="{FF2B5EF4-FFF2-40B4-BE49-F238E27FC236}">
              <a16:creationId xmlns:a16="http://schemas.microsoft.com/office/drawing/2014/main" id="{274FB5A3-7D6A-4565-BE92-22BFC8EE8BF1}"/>
            </a:ext>
          </a:extLst>
        </xdr:cNvPr>
        <xdr:cNvSpPr>
          <a:spLocks noChangeShapeType="1"/>
        </xdr:cNvSpPr>
      </xdr:nvSpPr>
      <xdr:spPr bwMode="auto">
        <a:xfrm>
          <a:off x="3228975" y="524827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26</xdr:row>
      <xdr:rowOff>161925</xdr:rowOff>
    </xdr:from>
    <xdr:to>
      <xdr:col>7</xdr:col>
      <xdr:colOff>257175</xdr:colOff>
      <xdr:row>27</xdr:row>
      <xdr:rowOff>104775</xdr:rowOff>
    </xdr:to>
    <xdr:sp macro="" textlink="">
      <xdr:nvSpPr>
        <xdr:cNvPr id="85346" name="Line 354">
          <a:extLst>
            <a:ext uri="{FF2B5EF4-FFF2-40B4-BE49-F238E27FC236}">
              <a16:creationId xmlns:a16="http://schemas.microsoft.com/office/drawing/2014/main" id="{0A3316FE-762D-42B0-A5BD-6B2C8C3E86B6}"/>
            </a:ext>
          </a:extLst>
        </xdr:cNvPr>
        <xdr:cNvSpPr>
          <a:spLocks noChangeShapeType="1"/>
        </xdr:cNvSpPr>
      </xdr:nvSpPr>
      <xdr:spPr bwMode="auto">
        <a:xfrm>
          <a:off x="4524375" y="5114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27</xdr:row>
      <xdr:rowOff>104775</xdr:rowOff>
    </xdr:from>
    <xdr:to>
      <xdr:col>8</xdr:col>
      <xdr:colOff>523875</xdr:colOff>
      <xdr:row>27</xdr:row>
      <xdr:rowOff>104775</xdr:rowOff>
    </xdr:to>
    <xdr:sp macro="" textlink="">
      <xdr:nvSpPr>
        <xdr:cNvPr id="85344" name="Line 352">
          <a:extLst>
            <a:ext uri="{FF2B5EF4-FFF2-40B4-BE49-F238E27FC236}">
              <a16:creationId xmlns:a16="http://schemas.microsoft.com/office/drawing/2014/main" id="{9FDF881E-0DDB-4547-B068-4E39B49D63D2}"/>
            </a:ext>
          </a:extLst>
        </xdr:cNvPr>
        <xdr:cNvSpPr>
          <a:spLocks noChangeShapeType="1"/>
        </xdr:cNvSpPr>
      </xdr:nvSpPr>
      <xdr:spPr bwMode="auto">
        <a:xfrm>
          <a:off x="4524375" y="524827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26</xdr:row>
      <xdr:rowOff>161925</xdr:rowOff>
    </xdr:from>
    <xdr:to>
      <xdr:col>8</xdr:col>
      <xdr:colOff>523875</xdr:colOff>
      <xdr:row>27</xdr:row>
      <xdr:rowOff>104775</xdr:rowOff>
    </xdr:to>
    <xdr:sp macro="" textlink="">
      <xdr:nvSpPr>
        <xdr:cNvPr id="85343" name="Line 351">
          <a:extLst>
            <a:ext uri="{FF2B5EF4-FFF2-40B4-BE49-F238E27FC236}">
              <a16:creationId xmlns:a16="http://schemas.microsoft.com/office/drawing/2014/main" id="{8789A66A-A4FF-474E-A4E1-95EE3A83E4F6}"/>
            </a:ext>
          </a:extLst>
        </xdr:cNvPr>
        <xdr:cNvSpPr>
          <a:spLocks noChangeShapeType="1"/>
        </xdr:cNvSpPr>
      </xdr:nvSpPr>
      <xdr:spPr bwMode="auto">
        <a:xfrm>
          <a:off x="5400675" y="5114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27</xdr:row>
      <xdr:rowOff>104775</xdr:rowOff>
    </xdr:from>
    <xdr:to>
      <xdr:col>10</xdr:col>
      <xdr:colOff>190500</xdr:colOff>
      <xdr:row>27</xdr:row>
      <xdr:rowOff>104775</xdr:rowOff>
    </xdr:to>
    <xdr:sp macro="" textlink="">
      <xdr:nvSpPr>
        <xdr:cNvPr id="85341" name="Line 349">
          <a:extLst>
            <a:ext uri="{FF2B5EF4-FFF2-40B4-BE49-F238E27FC236}">
              <a16:creationId xmlns:a16="http://schemas.microsoft.com/office/drawing/2014/main" id="{60A7EC8D-CE13-48BC-8943-8A03F284F05E}"/>
            </a:ext>
          </a:extLst>
        </xdr:cNvPr>
        <xdr:cNvSpPr>
          <a:spLocks noChangeShapeType="1"/>
        </xdr:cNvSpPr>
      </xdr:nvSpPr>
      <xdr:spPr bwMode="auto">
        <a:xfrm>
          <a:off x="5400675" y="524827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26</xdr:row>
      <xdr:rowOff>161925</xdr:rowOff>
    </xdr:from>
    <xdr:to>
      <xdr:col>10</xdr:col>
      <xdr:colOff>190500</xdr:colOff>
      <xdr:row>27</xdr:row>
      <xdr:rowOff>104775</xdr:rowOff>
    </xdr:to>
    <xdr:sp macro="" textlink="">
      <xdr:nvSpPr>
        <xdr:cNvPr id="85340" name="Line 348">
          <a:extLst>
            <a:ext uri="{FF2B5EF4-FFF2-40B4-BE49-F238E27FC236}">
              <a16:creationId xmlns:a16="http://schemas.microsoft.com/office/drawing/2014/main" id="{27713453-8E6E-4719-AB4F-222A869F5BFC}"/>
            </a:ext>
          </a:extLst>
        </xdr:cNvPr>
        <xdr:cNvSpPr>
          <a:spLocks noChangeShapeType="1"/>
        </xdr:cNvSpPr>
      </xdr:nvSpPr>
      <xdr:spPr bwMode="auto">
        <a:xfrm>
          <a:off x="6286500" y="5114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27</xdr:row>
      <xdr:rowOff>104775</xdr:rowOff>
    </xdr:from>
    <xdr:to>
      <xdr:col>11</xdr:col>
      <xdr:colOff>476250</xdr:colOff>
      <xdr:row>27</xdr:row>
      <xdr:rowOff>104775</xdr:rowOff>
    </xdr:to>
    <xdr:sp macro="" textlink="">
      <xdr:nvSpPr>
        <xdr:cNvPr id="85338" name="Line 346">
          <a:extLst>
            <a:ext uri="{FF2B5EF4-FFF2-40B4-BE49-F238E27FC236}">
              <a16:creationId xmlns:a16="http://schemas.microsoft.com/office/drawing/2014/main" id="{28EBE74F-F87F-4EAD-A958-4B42F38B7321}"/>
            </a:ext>
          </a:extLst>
        </xdr:cNvPr>
        <xdr:cNvSpPr>
          <a:spLocks noChangeShapeType="1"/>
        </xdr:cNvSpPr>
      </xdr:nvSpPr>
      <xdr:spPr bwMode="auto">
        <a:xfrm>
          <a:off x="6286500" y="524827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26</xdr:row>
      <xdr:rowOff>161925</xdr:rowOff>
    </xdr:from>
    <xdr:to>
      <xdr:col>11</xdr:col>
      <xdr:colOff>466725</xdr:colOff>
      <xdr:row>27</xdr:row>
      <xdr:rowOff>104775</xdr:rowOff>
    </xdr:to>
    <xdr:sp macro="" textlink="">
      <xdr:nvSpPr>
        <xdr:cNvPr id="85337" name="Line 345">
          <a:extLst>
            <a:ext uri="{FF2B5EF4-FFF2-40B4-BE49-F238E27FC236}">
              <a16:creationId xmlns:a16="http://schemas.microsoft.com/office/drawing/2014/main" id="{1979A897-0096-4521-A44F-E746363C5A1E}"/>
            </a:ext>
          </a:extLst>
        </xdr:cNvPr>
        <xdr:cNvSpPr>
          <a:spLocks noChangeShapeType="1"/>
        </xdr:cNvSpPr>
      </xdr:nvSpPr>
      <xdr:spPr bwMode="auto">
        <a:xfrm>
          <a:off x="7172325" y="5114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27</xdr:row>
      <xdr:rowOff>104775</xdr:rowOff>
    </xdr:from>
    <xdr:to>
      <xdr:col>11</xdr:col>
      <xdr:colOff>466725</xdr:colOff>
      <xdr:row>28</xdr:row>
      <xdr:rowOff>171450</xdr:rowOff>
    </xdr:to>
    <xdr:sp macro="" textlink="">
      <xdr:nvSpPr>
        <xdr:cNvPr id="85336" name="Rectangle 344">
          <a:extLst>
            <a:ext uri="{FF2B5EF4-FFF2-40B4-BE49-F238E27FC236}">
              <a16:creationId xmlns:a16="http://schemas.microsoft.com/office/drawing/2014/main" id="{40A598F2-9186-4CAA-90AE-8C5EAA5E99CA}"/>
            </a:ext>
          </a:extLst>
        </xdr:cNvPr>
        <xdr:cNvSpPr>
          <a:spLocks noChangeArrowheads="1"/>
        </xdr:cNvSpPr>
      </xdr:nvSpPr>
      <xdr:spPr bwMode="auto">
        <a:xfrm>
          <a:off x="381000" y="5248275"/>
          <a:ext cx="6791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27</xdr:row>
      <xdr:rowOff>104775</xdr:rowOff>
    </xdr:from>
    <xdr:to>
      <xdr:col>4</xdr:col>
      <xdr:colOff>381000</xdr:colOff>
      <xdr:row>28</xdr:row>
      <xdr:rowOff>171450</xdr:rowOff>
    </xdr:to>
    <xdr:sp macro="" textlink="">
      <xdr:nvSpPr>
        <xdr:cNvPr id="85335" name="Rectangle 343">
          <a:extLst>
            <a:ext uri="{FF2B5EF4-FFF2-40B4-BE49-F238E27FC236}">
              <a16:creationId xmlns:a16="http://schemas.microsoft.com/office/drawing/2014/main" id="{13D0B007-AA71-44C6-B8FA-8135F2952FB9}"/>
            </a:ext>
          </a:extLst>
        </xdr:cNvPr>
        <xdr:cNvSpPr>
          <a:spLocks noChangeArrowheads="1"/>
        </xdr:cNvSpPr>
      </xdr:nvSpPr>
      <xdr:spPr bwMode="auto">
        <a:xfrm>
          <a:off x="381000" y="5248275"/>
          <a:ext cx="2438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Składki na ubezpieczenia społeczne członków spółdzielni socjalnych</a:t>
          </a:r>
        </a:p>
      </xdr:txBody>
    </xdr:sp>
    <xdr:clientData/>
  </xdr:twoCellAnchor>
  <xdr:twoCellAnchor>
    <xdr:from>
      <xdr:col>0</xdr:col>
      <xdr:colOff>381000</xdr:colOff>
      <xdr:row>27</xdr:row>
      <xdr:rowOff>104775</xdr:rowOff>
    </xdr:from>
    <xdr:to>
      <xdr:col>0</xdr:col>
      <xdr:colOff>381000</xdr:colOff>
      <xdr:row>28</xdr:row>
      <xdr:rowOff>171450</xdr:rowOff>
    </xdr:to>
    <xdr:sp macro="" textlink="">
      <xdr:nvSpPr>
        <xdr:cNvPr id="85334" name="Line 342">
          <a:extLst>
            <a:ext uri="{FF2B5EF4-FFF2-40B4-BE49-F238E27FC236}">
              <a16:creationId xmlns:a16="http://schemas.microsoft.com/office/drawing/2014/main" id="{C406019D-419D-4435-AA1B-6F0B3FAC4390}"/>
            </a:ext>
          </a:extLst>
        </xdr:cNvPr>
        <xdr:cNvSpPr>
          <a:spLocks noChangeShapeType="1"/>
        </xdr:cNvSpPr>
      </xdr:nvSpPr>
      <xdr:spPr bwMode="auto">
        <a:xfrm>
          <a:off x="381000" y="5248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28</xdr:row>
      <xdr:rowOff>161925</xdr:rowOff>
    </xdr:from>
    <xdr:to>
      <xdr:col>4</xdr:col>
      <xdr:colOff>381000</xdr:colOff>
      <xdr:row>28</xdr:row>
      <xdr:rowOff>161925</xdr:rowOff>
    </xdr:to>
    <xdr:sp macro="" textlink="">
      <xdr:nvSpPr>
        <xdr:cNvPr id="85333" name="Line 341">
          <a:extLst>
            <a:ext uri="{FF2B5EF4-FFF2-40B4-BE49-F238E27FC236}">
              <a16:creationId xmlns:a16="http://schemas.microsoft.com/office/drawing/2014/main" id="{7FCA7499-1560-463D-8F5F-49092B40F2FE}"/>
            </a:ext>
          </a:extLst>
        </xdr:cNvPr>
        <xdr:cNvSpPr>
          <a:spLocks noChangeShapeType="1"/>
        </xdr:cNvSpPr>
      </xdr:nvSpPr>
      <xdr:spPr bwMode="auto">
        <a:xfrm>
          <a:off x="381000" y="549592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27</xdr:row>
      <xdr:rowOff>104775</xdr:rowOff>
    </xdr:from>
    <xdr:to>
      <xdr:col>4</xdr:col>
      <xdr:colOff>381000</xdr:colOff>
      <xdr:row>28</xdr:row>
      <xdr:rowOff>171450</xdr:rowOff>
    </xdr:to>
    <xdr:sp macro="" textlink="">
      <xdr:nvSpPr>
        <xdr:cNvPr id="85332" name="Line 340">
          <a:extLst>
            <a:ext uri="{FF2B5EF4-FFF2-40B4-BE49-F238E27FC236}">
              <a16:creationId xmlns:a16="http://schemas.microsoft.com/office/drawing/2014/main" id="{462ADE45-8BE2-4636-90A1-31512AFC4468}"/>
            </a:ext>
          </a:extLst>
        </xdr:cNvPr>
        <xdr:cNvSpPr>
          <a:spLocks noChangeShapeType="1"/>
        </xdr:cNvSpPr>
      </xdr:nvSpPr>
      <xdr:spPr bwMode="auto">
        <a:xfrm>
          <a:off x="2819400" y="5248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27</xdr:row>
      <xdr:rowOff>104775</xdr:rowOff>
    </xdr:from>
    <xdr:to>
      <xdr:col>5</xdr:col>
      <xdr:colOff>180975</xdr:colOff>
      <xdr:row>28</xdr:row>
      <xdr:rowOff>171450</xdr:rowOff>
    </xdr:to>
    <xdr:sp macro="" textlink="">
      <xdr:nvSpPr>
        <xdr:cNvPr id="85331" name="Rectangle 339">
          <a:extLst>
            <a:ext uri="{FF2B5EF4-FFF2-40B4-BE49-F238E27FC236}">
              <a16:creationId xmlns:a16="http://schemas.microsoft.com/office/drawing/2014/main" id="{00FA16B9-145E-4C41-AF3C-1C71B17CF798}"/>
            </a:ext>
          </a:extLst>
        </xdr:cNvPr>
        <xdr:cNvSpPr>
          <a:spLocks noChangeArrowheads="1"/>
        </xdr:cNvSpPr>
      </xdr:nvSpPr>
      <xdr:spPr bwMode="auto">
        <a:xfrm>
          <a:off x="2819400" y="5248275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6350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4</xdr:col>
      <xdr:colOff>381000</xdr:colOff>
      <xdr:row>28</xdr:row>
      <xdr:rowOff>161925</xdr:rowOff>
    </xdr:from>
    <xdr:to>
      <xdr:col>5</xdr:col>
      <xdr:colOff>180975</xdr:colOff>
      <xdr:row>28</xdr:row>
      <xdr:rowOff>161925</xdr:rowOff>
    </xdr:to>
    <xdr:sp macro="" textlink="">
      <xdr:nvSpPr>
        <xdr:cNvPr id="85330" name="Line 338">
          <a:extLst>
            <a:ext uri="{FF2B5EF4-FFF2-40B4-BE49-F238E27FC236}">
              <a16:creationId xmlns:a16="http://schemas.microsoft.com/office/drawing/2014/main" id="{3974BA56-549A-4604-9A18-204DE29128E9}"/>
            </a:ext>
          </a:extLst>
        </xdr:cNvPr>
        <xdr:cNvSpPr>
          <a:spLocks noChangeShapeType="1"/>
        </xdr:cNvSpPr>
      </xdr:nvSpPr>
      <xdr:spPr bwMode="auto">
        <a:xfrm>
          <a:off x="2819400" y="549592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27</xdr:row>
      <xdr:rowOff>104775</xdr:rowOff>
    </xdr:from>
    <xdr:to>
      <xdr:col>5</xdr:col>
      <xdr:colOff>180975</xdr:colOff>
      <xdr:row>28</xdr:row>
      <xdr:rowOff>171450</xdr:rowOff>
    </xdr:to>
    <xdr:sp macro="" textlink="">
      <xdr:nvSpPr>
        <xdr:cNvPr id="85329" name="Line 337">
          <a:extLst>
            <a:ext uri="{FF2B5EF4-FFF2-40B4-BE49-F238E27FC236}">
              <a16:creationId xmlns:a16="http://schemas.microsoft.com/office/drawing/2014/main" id="{5F29EAA1-E62B-4924-9E54-D03C0E434E6D}"/>
            </a:ext>
          </a:extLst>
        </xdr:cNvPr>
        <xdr:cNvSpPr>
          <a:spLocks noChangeShapeType="1"/>
        </xdr:cNvSpPr>
      </xdr:nvSpPr>
      <xdr:spPr bwMode="auto">
        <a:xfrm>
          <a:off x="3228975" y="5248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28</xdr:row>
      <xdr:rowOff>161925</xdr:rowOff>
    </xdr:from>
    <xdr:to>
      <xdr:col>7</xdr:col>
      <xdr:colOff>257175</xdr:colOff>
      <xdr:row>28</xdr:row>
      <xdr:rowOff>161925</xdr:rowOff>
    </xdr:to>
    <xdr:sp macro="" textlink="">
      <xdr:nvSpPr>
        <xdr:cNvPr id="85327" name="Line 335">
          <a:extLst>
            <a:ext uri="{FF2B5EF4-FFF2-40B4-BE49-F238E27FC236}">
              <a16:creationId xmlns:a16="http://schemas.microsoft.com/office/drawing/2014/main" id="{072D135B-1199-431E-A4A1-55DCDE52784D}"/>
            </a:ext>
          </a:extLst>
        </xdr:cNvPr>
        <xdr:cNvSpPr>
          <a:spLocks noChangeShapeType="1"/>
        </xdr:cNvSpPr>
      </xdr:nvSpPr>
      <xdr:spPr bwMode="auto">
        <a:xfrm>
          <a:off x="3228975" y="549592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27</xdr:row>
      <xdr:rowOff>104775</xdr:rowOff>
    </xdr:from>
    <xdr:to>
      <xdr:col>7</xdr:col>
      <xdr:colOff>257175</xdr:colOff>
      <xdr:row>28</xdr:row>
      <xdr:rowOff>171450</xdr:rowOff>
    </xdr:to>
    <xdr:sp macro="" textlink="">
      <xdr:nvSpPr>
        <xdr:cNvPr id="85326" name="Line 334">
          <a:extLst>
            <a:ext uri="{FF2B5EF4-FFF2-40B4-BE49-F238E27FC236}">
              <a16:creationId xmlns:a16="http://schemas.microsoft.com/office/drawing/2014/main" id="{4BBF088F-8E28-4549-BEB1-230F2540F7CC}"/>
            </a:ext>
          </a:extLst>
        </xdr:cNvPr>
        <xdr:cNvSpPr>
          <a:spLocks noChangeShapeType="1"/>
        </xdr:cNvSpPr>
      </xdr:nvSpPr>
      <xdr:spPr bwMode="auto">
        <a:xfrm>
          <a:off x="4524375" y="5248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28</xdr:row>
      <xdr:rowOff>161925</xdr:rowOff>
    </xdr:from>
    <xdr:to>
      <xdr:col>8</xdr:col>
      <xdr:colOff>523875</xdr:colOff>
      <xdr:row>28</xdr:row>
      <xdr:rowOff>161925</xdr:rowOff>
    </xdr:to>
    <xdr:sp macro="" textlink="">
      <xdr:nvSpPr>
        <xdr:cNvPr id="85324" name="Line 332">
          <a:extLst>
            <a:ext uri="{FF2B5EF4-FFF2-40B4-BE49-F238E27FC236}">
              <a16:creationId xmlns:a16="http://schemas.microsoft.com/office/drawing/2014/main" id="{3E3D78B9-72E1-4F87-AC97-C366C753CAE2}"/>
            </a:ext>
          </a:extLst>
        </xdr:cNvPr>
        <xdr:cNvSpPr>
          <a:spLocks noChangeShapeType="1"/>
        </xdr:cNvSpPr>
      </xdr:nvSpPr>
      <xdr:spPr bwMode="auto">
        <a:xfrm>
          <a:off x="4524375" y="549592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27</xdr:row>
      <xdr:rowOff>104775</xdr:rowOff>
    </xdr:from>
    <xdr:to>
      <xdr:col>8</xdr:col>
      <xdr:colOff>523875</xdr:colOff>
      <xdr:row>28</xdr:row>
      <xdr:rowOff>171450</xdr:rowOff>
    </xdr:to>
    <xdr:sp macro="" textlink="">
      <xdr:nvSpPr>
        <xdr:cNvPr id="85323" name="Line 331">
          <a:extLst>
            <a:ext uri="{FF2B5EF4-FFF2-40B4-BE49-F238E27FC236}">
              <a16:creationId xmlns:a16="http://schemas.microsoft.com/office/drawing/2014/main" id="{86AB27AA-5A59-463F-97E0-705BFFA90F76}"/>
            </a:ext>
          </a:extLst>
        </xdr:cNvPr>
        <xdr:cNvSpPr>
          <a:spLocks noChangeShapeType="1"/>
        </xdr:cNvSpPr>
      </xdr:nvSpPr>
      <xdr:spPr bwMode="auto">
        <a:xfrm>
          <a:off x="5400675" y="5248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28</xdr:row>
      <xdr:rowOff>161925</xdr:rowOff>
    </xdr:from>
    <xdr:to>
      <xdr:col>10</xdr:col>
      <xdr:colOff>190500</xdr:colOff>
      <xdr:row>28</xdr:row>
      <xdr:rowOff>161925</xdr:rowOff>
    </xdr:to>
    <xdr:sp macro="" textlink="">
      <xdr:nvSpPr>
        <xdr:cNvPr id="85321" name="Line 329">
          <a:extLst>
            <a:ext uri="{FF2B5EF4-FFF2-40B4-BE49-F238E27FC236}">
              <a16:creationId xmlns:a16="http://schemas.microsoft.com/office/drawing/2014/main" id="{A895AA69-1C98-4CDF-A4F9-814E4214EFF4}"/>
            </a:ext>
          </a:extLst>
        </xdr:cNvPr>
        <xdr:cNvSpPr>
          <a:spLocks noChangeShapeType="1"/>
        </xdr:cNvSpPr>
      </xdr:nvSpPr>
      <xdr:spPr bwMode="auto">
        <a:xfrm>
          <a:off x="5400675" y="549592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27</xdr:row>
      <xdr:rowOff>104775</xdr:rowOff>
    </xdr:from>
    <xdr:to>
      <xdr:col>10</xdr:col>
      <xdr:colOff>190500</xdr:colOff>
      <xdr:row>28</xdr:row>
      <xdr:rowOff>171450</xdr:rowOff>
    </xdr:to>
    <xdr:sp macro="" textlink="">
      <xdr:nvSpPr>
        <xdr:cNvPr id="85320" name="Line 328">
          <a:extLst>
            <a:ext uri="{FF2B5EF4-FFF2-40B4-BE49-F238E27FC236}">
              <a16:creationId xmlns:a16="http://schemas.microsoft.com/office/drawing/2014/main" id="{48CAE41E-8405-4454-BBE1-8251DB9A42AC}"/>
            </a:ext>
          </a:extLst>
        </xdr:cNvPr>
        <xdr:cNvSpPr>
          <a:spLocks noChangeShapeType="1"/>
        </xdr:cNvSpPr>
      </xdr:nvSpPr>
      <xdr:spPr bwMode="auto">
        <a:xfrm>
          <a:off x="6286500" y="5248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28</xdr:row>
      <xdr:rowOff>161925</xdr:rowOff>
    </xdr:from>
    <xdr:to>
      <xdr:col>11</xdr:col>
      <xdr:colOff>476250</xdr:colOff>
      <xdr:row>28</xdr:row>
      <xdr:rowOff>161925</xdr:rowOff>
    </xdr:to>
    <xdr:sp macro="" textlink="">
      <xdr:nvSpPr>
        <xdr:cNvPr id="85318" name="Line 326">
          <a:extLst>
            <a:ext uri="{FF2B5EF4-FFF2-40B4-BE49-F238E27FC236}">
              <a16:creationId xmlns:a16="http://schemas.microsoft.com/office/drawing/2014/main" id="{BA233A94-1B44-44BC-AB5E-2F8930E608A7}"/>
            </a:ext>
          </a:extLst>
        </xdr:cNvPr>
        <xdr:cNvSpPr>
          <a:spLocks noChangeShapeType="1"/>
        </xdr:cNvSpPr>
      </xdr:nvSpPr>
      <xdr:spPr bwMode="auto">
        <a:xfrm>
          <a:off x="6286500" y="549592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27</xdr:row>
      <xdr:rowOff>104775</xdr:rowOff>
    </xdr:from>
    <xdr:to>
      <xdr:col>11</xdr:col>
      <xdr:colOff>466725</xdr:colOff>
      <xdr:row>28</xdr:row>
      <xdr:rowOff>171450</xdr:rowOff>
    </xdr:to>
    <xdr:sp macro="" textlink="">
      <xdr:nvSpPr>
        <xdr:cNvPr id="85317" name="Line 325">
          <a:extLst>
            <a:ext uri="{FF2B5EF4-FFF2-40B4-BE49-F238E27FC236}">
              <a16:creationId xmlns:a16="http://schemas.microsoft.com/office/drawing/2014/main" id="{E30B616C-5A32-4317-9850-1FF9ECE2D586}"/>
            </a:ext>
          </a:extLst>
        </xdr:cNvPr>
        <xdr:cNvSpPr>
          <a:spLocks noChangeShapeType="1"/>
        </xdr:cNvSpPr>
      </xdr:nvSpPr>
      <xdr:spPr bwMode="auto">
        <a:xfrm>
          <a:off x="7172325" y="5248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28</xdr:row>
      <xdr:rowOff>161925</xdr:rowOff>
    </xdr:from>
    <xdr:to>
      <xdr:col>11</xdr:col>
      <xdr:colOff>466725</xdr:colOff>
      <xdr:row>30</xdr:row>
      <xdr:rowOff>38100</xdr:rowOff>
    </xdr:to>
    <xdr:sp macro="" textlink="">
      <xdr:nvSpPr>
        <xdr:cNvPr id="85316" name="Rectangle 324">
          <a:extLst>
            <a:ext uri="{FF2B5EF4-FFF2-40B4-BE49-F238E27FC236}">
              <a16:creationId xmlns:a16="http://schemas.microsoft.com/office/drawing/2014/main" id="{E3391385-B4F9-4A9E-B469-A5E440B0B474}"/>
            </a:ext>
          </a:extLst>
        </xdr:cNvPr>
        <xdr:cNvSpPr>
          <a:spLocks noChangeArrowheads="1"/>
        </xdr:cNvSpPr>
      </xdr:nvSpPr>
      <xdr:spPr bwMode="auto">
        <a:xfrm>
          <a:off x="381000" y="5495925"/>
          <a:ext cx="6791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28</xdr:row>
      <xdr:rowOff>161925</xdr:rowOff>
    </xdr:from>
    <xdr:to>
      <xdr:col>4</xdr:col>
      <xdr:colOff>381000</xdr:colOff>
      <xdr:row>30</xdr:row>
      <xdr:rowOff>38100</xdr:rowOff>
    </xdr:to>
    <xdr:sp macro="" textlink="">
      <xdr:nvSpPr>
        <xdr:cNvPr id="85315" name="Rectangle 323">
          <a:extLst>
            <a:ext uri="{FF2B5EF4-FFF2-40B4-BE49-F238E27FC236}">
              <a16:creationId xmlns:a16="http://schemas.microsoft.com/office/drawing/2014/main" id="{7D4D9F9E-A264-4E6B-AE25-CE36C9DCD5F7}"/>
            </a:ext>
          </a:extLst>
        </xdr:cNvPr>
        <xdr:cNvSpPr>
          <a:spLocks noChangeArrowheads="1"/>
        </xdr:cNvSpPr>
      </xdr:nvSpPr>
      <xdr:spPr bwMode="auto">
        <a:xfrm>
          <a:off x="381000" y="5495925"/>
          <a:ext cx="2438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Składki na ubezpieczenia społeczne pracowników przedsiębiorstw społecznych</a:t>
          </a:r>
        </a:p>
      </xdr:txBody>
    </xdr:sp>
    <xdr:clientData/>
  </xdr:twoCellAnchor>
  <xdr:twoCellAnchor>
    <xdr:from>
      <xdr:col>0</xdr:col>
      <xdr:colOff>381000</xdr:colOff>
      <xdr:row>28</xdr:row>
      <xdr:rowOff>161925</xdr:rowOff>
    </xdr:from>
    <xdr:to>
      <xdr:col>0</xdr:col>
      <xdr:colOff>381000</xdr:colOff>
      <xdr:row>30</xdr:row>
      <xdr:rowOff>38100</xdr:rowOff>
    </xdr:to>
    <xdr:sp macro="" textlink="">
      <xdr:nvSpPr>
        <xdr:cNvPr id="85314" name="Line 322">
          <a:extLst>
            <a:ext uri="{FF2B5EF4-FFF2-40B4-BE49-F238E27FC236}">
              <a16:creationId xmlns:a16="http://schemas.microsoft.com/office/drawing/2014/main" id="{7F16480A-E512-4814-90A5-03A510888241}"/>
            </a:ext>
          </a:extLst>
        </xdr:cNvPr>
        <xdr:cNvSpPr>
          <a:spLocks noChangeShapeType="1"/>
        </xdr:cNvSpPr>
      </xdr:nvSpPr>
      <xdr:spPr bwMode="auto">
        <a:xfrm>
          <a:off x="381000" y="5495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30</xdr:row>
      <xdr:rowOff>38100</xdr:rowOff>
    </xdr:from>
    <xdr:to>
      <xdr:col>4</xdr:col>
      <xdr:colOff>381000</xdr:colOff>
      <xdr:row>30</xdr:row>
      <xdr:rowOff>38100</xdr:rowOff>
    </xdr:to>
    <xdr:sp macro="" textlink="">
      <xdr:nvSpPr>
        <xdr:cNvPr id="85313" name="Line 321">
          <a:extLst>
            <a:ext uri="{FF2B5EF4-FFF2-40B4-BE49-F238E27FC236}">
              <a16:creationId xmlns:a16="http://schemas.microsoft.com/office/drawing/2014/main" id="{4EF8CF4E-00B3-4A81-BB0F-81AF4E5494ED}"/>
            </a:ext>
          </a:extLst>
        </xdr:cNvPr>
        <xdr:cNvSpPr>
          <a:spLocks noChangeShapeType="1"/>
        </xdr:cNvSpPr>
      </xdr:nvSpPr>
      <xdr:spPr bwMode="auto">
        <a:xfrm>
          <a:off x="381000" y="5753100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28</xdr:row>
      <xdr:rowOff>161925</xdr:rowOff>
    </xdr:from>
    <xdr:to>
      <xdr:col>4</xdr:col>
      <xdr:colOff>381000</xdr:colOff>
      <xdr:row>30</xdr:row>
      <xdr:rowOff>38100</xdr:rowOff>
    </xdr:to>
    <xdr:sp macro="" textlink="">
      <xdr:nvSpPr>
        <xdr:cNvPr id="85312" name="Line 320">
          <a:extLst>
            <a:ext uri="{FF2B5EF4-FFF2-40B4-BE49-F238E27FC236}">
              <a16:creationId xmlns:a16="http://schemas.microsoft.com/office/drawing/2014/main" id="{2FE3D3C5-5643-453F-BBE7-F90B59B7FA02}"/>
            </a:ext>
          </a:extLst>
        </xdr:cNvPr>
        <xdr:cNvSpPr>
          <a:spLocks noChangeShapeType="1"/>
        </xdr:cNvSpPr>
      </xdr:nvSpPr>
      <xdr:spPr bwMode="auto">
        <a:xfrm>
          <a:off x="2819400" y="5495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28</xdr:row>
      <xdr:rowOff>161925</xdr:rowOff>
    </xdr:from>
    <xdr:to>
      <xdr:col>5</xdr:col>
      <xdr:colOff>180975</xdr:colOff>
      <xdr:row>30</xdr:row>
      <xdr:rowOff>38100</xdr:rowOff>
    </xdr:to>
    <xdr:sp macro="" textlink="">
      <xdr:nvSpPr>
        <xdr:cNvPr id="85311" name="Rectangle 319">
          <a:extLst>
            <a:ext uri="{FF2B5EF4-FFF2-40B4-BE49-F238E27FC236}">
              <a16:creationId xmlns:a16="http://schemas.microsoft.com/office/drawing/2014/main" id="{DE23E3ED-66EC-496A-911E-0D4624840304}"/>
            </a:ext>
          </a:extLst>
        </xdr:cNvPr>
        <xdr:cNvSpPr>
          <a:spLocks noChangeArrowheads="1"/>
        </xdr:cNvSpPr>
      </xdr:nvSpPr>
      <xdr:spPr bwMode="auto">
        <a:xfrm>
          <a:off x="2819400" y="5495925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6350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4</xdr:col>
      <xdr:colOff>381000</xdr:colOff>
      <xdr:row>30</xdr:row>
      <xdr:rowOff>38100</xdr:rowOff>
    </xdr:from>
    <xdr:to>
      <xdr:col>5</xdr:col>
      <xdr:colOff>180975</xdr:colOff>
      <xdr:row>30</xdr:row>
      <xdr:rowOff>38100</xdr:rowOff>
    </xdr:to>
    <xdr:sp macro="" textlink="">
      <xdr:nvSpPr>
        <xdr:cNvPr id="85310" name="Line 318">
          <a:extLst>
            <a:ext uri="{FF2B5EF4-FFF2-40B4-BE49-F238E27FC236}">
              <a16:creationId xmlns:a16="http://schemas.microsoft.com/office/drawing/2014/main" id="{DE776487-BC0C-4B42-BE91-3F0D02661396}"/>
            </a:ext>
          </a:extLst>
        </xdr:cNvPr>
        <xdr:cNvSpPr>
          <a:spLocks noChangeShapeType="1"/>
        </xdr:cNvSpPr>
      </xdr:nvSpPr>
      <xdr:spPr bwMode="auto">
        <a:xfrm>
          <a:off x="2819400" y="5753100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28</xdr:row>
      <xdr:rowOff>161925</xdr:rowOff>
    </xdr:from>
    <xdr:to>
      <xdr:col>5</xdr:col>
      <xdr:colOff>180975</xdr:colOff>
      <xdr:row>30</xdr:row>
      <xdr:rowOff>38100</xdr:rowOff>
    </xdr:to>
    <xdr:sp macro="" textlink="">
      <xdr:nvSpPr>
        <xdr:cNvPr id="85309" name="Line 317">
          <a:extLst>
            <a:ext uri="{FF2B5EF4-FFF2-40B4-BE49-F238E27FC236}">
              <a16:creationId xmlns:a16="http://schemas.microsoft.com/office/drawing/2014/main" id="{E197DE48-2AC0-4593-861C-F4BF4C5E1DFA}"/>
            </a:ext>
          </a:extLst>
        </xdr:cNvPr>
        <xdr:cNvSpPr>
          <a:spLocks noChangeShapeType="1"/>
        </xdr:cNvSpPr>
      </xdr:nvSpPr>
      <xdr:spPr bwMode="auto">
        <a:xfrm>
          <a:off x="3228975" y="5495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30</xdr:row>
      <xdr:rowOff>38100</xdr:rowOff>
    </xdr:from>
    <xdr:to>
      <xdr:col>7</xdr:col>
      <xdr:colOff>257175</xdr:colOff>
      <xdr:row>30</xdr:row>
      <xdr:rowOff>38100</xdr:rowOff>
    </xdr:to>
    <xdr:sp macro="" textlink="">
      <xdr:nvSpPr>
        <xdr:cNvPr id="85307" name="Line 315">
          <a:extLst>
            <a:ext uri="{FF2B5EF4-FFF2-40B4-BE49-F238E27FC236}">
              <a16:creationId xmlns:a16="http://schemas.microsoft.com/office/drawing/2014/main" id="{856D1017-9BFD-48F0-99A2-964634C2E567}"/>
            </a:ext>
          </a:extLst>
        </xdr:cNvPr>
        <xdr:cNvSpPr>
          <a:spLocks noChangeShapeType="1"/>
        </xdr:cNvSpPr>
      </xdr:nvSpPr>
      <xdr:spPr bwMode="auto">
        <a:xfrm>
          <a:off x="3228975" y="5753100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28</xdr:row>
      <xdr:rowOff>161925</xdr:rowOff>
    </xdr:from>
    <xdr:to>
      <xdr:col>7</xdr:col>
      <xdr:colOff>257175</xdr:colOff>
      <xdr:row>30</xdr:row>
      <xdr:rowOff>38100</xdr:rowOff>
    </xdr:to>
    <xdr:sp macro="" textlink="">
      <xdr:nvSpPr>
        <xdr:cNvPr id="85306" name="Line 314">
          <a:extLst>
            <a:ext uri="{FF2B5EF4-FFF2-40B4-BE49-F238E27FC236}">
              <a16:creationId xmlns:a16="http://schemas.microsoft.com/office/drawing/2014/main" id="{23E4FF81-0778-4DD8-A40C-BFA37F05E7C7}"/>
            </a:ext>
          </a:extLst>
        </xdr:cNvPr>
        <xdr:cNvSpPr>
          <a:spLocks noChangeShapeType="1"/>
        </xdr:cNvSpPr>
      </xdr:nvSpPr>
      <xdr:spPr bwMode="auto">
        <a:xfrm>
          <a:off x="4524375" y="5495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30</xdr:row>
      <xdr:rowOff>38100</xdr:rowOff>
    </xdr:from>
    <xdr:to>
      <xdr:col>8</xdr:col>
      <xdr:colOff>523875</xdr:colOff>
      <xdr:row>30</xdr:row>
      <xdr:rowOff>38100</xdr:rowOff>
    </xdr:to>
    <xdr:sp macro="" textlink="">
      <xdr:nvSpPr>
        <xdr:cNvPr id="85304" name="Line 312">
          <a:extLst>
            <a:ext uri="{FF2B5EF4-FFF2-40B4-BE49-F238E27FC236}">
              <a16:creationId xmlns:a16="http://schemas.microsoft.com/office/drawing/2014/main" id="{DCD57927-6C49-4863-A70D-3B2DE4208729}"/>
            </a:ext>
          </a:extLst>
        </xdr:cNvPr>
        <xdr:cNvSpPr>
          <a:spLocks noChangeShapeType="1"/>
        </xdr:cNvSpPr>
      </xdr:nvSpPr>
      <xdr:spPr bwMode="auto">
        <a:xfrm>
          <a:off x="4524375" y="5753100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28</xdr:row>
      <xdr:rowOff>161925</xdr:rowOff>
    </xdr:from>
    <xdr:to>
      <xdr:col>8</xdr:col>
      <xdr:colOff>523875</xdr:colOff>
      <xdr:row>30</xdr:row>
      <xdr:rowOff>38100</xdr:rowOff>
    </xdr:to>
    <xdr:sp macro="" textlink="">
      <xdr:nvSpPr>
        <xdr:cNvPr id="85303" name="Line 311">
          <a:extLst>
            <a:ext uri="{FF2B5EF4-FFF2-40B4-BE49-F238E27FC236}">
              <a16:creationId xmlns:a16="http://schemas.microsoft.com/office/drawing/2014/main" id="{6A6827A5-FBF7-4F15-B1A6-104016D533F9}"/>
            </a:ext>
          </a:extLst>
        </xdr:cNvPr>
        <xdr:cNvSpPr>
          <a:spLocks noChangeShapeType="1"/>
        </xdr:cNvSpPr>
      </xdr:nvSpPr>
      <xdr:spPr bwMode="auto">
        <a:xfrm>
          <a:off x="5400675" y="5495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30</xdr:row>
      <xdr:rowOff>38100</xdr:rowOff>
    </xdr:from>
    <xdr:to>
      <xdr:col>10</xdr:col>
      <xdr:colOff>190500</xdr:colOff>
      <xdr:row>30</xdr:row>
      <xdr:rowOff>38100</xdr:rowOff>
    </xdr:to>
    <xdr:sp macro="" textlink="">
      <xdr:nvSpPr>
        <xdr:cNvPr id="85301" name="Line 309">
          <a:extLst>
            <a:ext uri="{FF2B5EF4-FFF2-40B4-BE49-F238E27FC236}">
              <a16:creationId xmlns:a16="http://schemas.microsoft.com/office/drawing/2014/main" id="{1A34AB86-8C4A-4160-9E82-C25F01A972B8}"/>
            </a:ext>
          </a:extLst>
        </xdr:cNvPr>
        <xdr:cNvSpPr>
          <a:spLocks noChangeShapeType="1"/>
        </xdr:cNvSpPr>
      </xdr:nvSpPr>
      <xdr:spPr bwMode="auto">
        <a:xfrm>
          <a:off x="5400675" y="5753100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28</xdr:row>
      <xdr:rowOff>161925</xdr:rowOff>
    </xdr:from>
    <xdr:to>
      <xdr:col>10</xdr:col>
      <xdr:colOff>190500</xdr:colOff>
      <xdr:row>30</xdr:row>
      <xdr:rowOff>38100</xdr:rowOff>
    </xdr:to>
    <xdr:sp macro="" textlink="">
      <xdr:nvSpPr>
        <xdr:cNvPr id="85300" name="Line 308">
          <a:extLst>
            <a:ext uri="{FF2B5EF4-FFF2-40B4-BE49-F238E27FC236}">
              <a16:creationId xmlns:a16="http://schemas.microsoft.com/office/drawing/2014/main" id="{76287B65-202A-4CD1-9028-FB528151AC69}"/>
            </a:ext>
          </a:extLst>
        </xdr:cNvPr>
        <xdr:cNvSpPr>
          <a:spLocks noChangeShapeType="1"/>
        </xdr:cNvSpPr>
      </xdr:nvSpPr>
      <xdr:spPr bwMode="auto">
        <a:xfrm>
          <a:off x="6286500" y="5495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30</xdr:row>
      <xdr:rowOff>38100</xdr:rowOff>
    </xdr:from>
    <xdr:to>
      <xdr:col>11</xdr:col>
      <xdr:colOff>476250</xdr:colOff>
      <xdr:row>30</xdr:row>
      <xdr:rowOff>38100</xdr:rowOff>
    </xdr:to>
    <xdr:sp macro="" textlink="">
      <xdr:nvSpPr>
        <xdr:cNvPr id="85298" name="Line 306">
          <a:extLst>
            <a:ext uri="{FF2B5EF4-FFF2-40B4-BE49-F238E27FC236}">
              <a16:creationId xmlns:a16="http://schemas.microsoft.com/office/drawing/2014/main" id="{2D32D7F6-3676-4EA8-8111-93C53A2B5CFA}"/>
            </a:ext>
          </a:extLst>
        </xdr:cNvPr>
        <xdr:cNvSpPr>
          <a:spLocks noChangeShapeType="1"/>
        </xdr:cNvSpPr>
      </xdr:nvSpPr>
      <xdr:spPr bwMode="auto">
        <a:xfrm>
          <a:off x="6286500" y="5753100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28</xdr:row>
      <xdr:rowOff>161925</xdr:rowOff>
    </xdr:from>
    <xdr:to>
      <xdr:col>11</xdr:col>
      <xdr:colOff>466725</xdr:colOff>
      <xdr:row>30</xdr:row>
      <xdr:rowOff>38100</xdr:rowOff>
    </xdr:to>
    <xdr:sp macro="" textlink="">
      <xdr:nvSpPr>
        <xdr:cNvPr id="85297" name="Line 305">
          <a:extLst>
            <a:ext uri="{FF2B5EF4-FFF2-40B4-BE49-F238E27FC236}">
              <a16:creationId xmlns:a16="http://schemas.microsoft.com/office/drawing/2014/main" id="{BA68D999-3844-4587-B4A2-091A1940F862}"/>
            </a:ext>
          </a:extLst>
        </xdr:cNvPr>
        <xdr:cNvSpPr>
          <a:spLocks noChangeShapeType="1"/>
        </xdr:cNvSpPr>
      </xdr:nvSpPr>
      <xdr:spPr bwMode="auto">
        <a:xfrm>
          <a:off x="7172325" y="5495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30</xdr:row>
      <xdr:rowOff>38100</xdr:rowOff>
    </xdr:from>
    <xdr:to>
      <xdr:col>11</xdr:col>
      <xdr:colOff>466725</xdr:colOff>
      <xdr:row>30</xdr:row>
      <xdr:rowOff>161925</xdr:rowOff>
    </xdr:to>
    <xdr:sp macro="" textlink="">
      <xdr:nvSpPr>
        <xdr:cNvPr id="85296" name="Rectangle 304">
          <a:extLst>
            <a:ext uri="{FF2B5EF4-FFF2-40B4-BE49-F238E27FC236}">
              <a16:creationId xmlns:a16="http://schemas.microsoft.com/office/drawing/2014/main" id="{976AD3D5-1D72-4798-9DB0-C97FC4A623CA}"/>
            </a:ext>
          </a:extLst>
        </xdr:cNvPr>
        <xdr:cNvSpPr>
          <a:spLocks noChangeArrowheads="1"/>
        </xdr:cNvSpPr>
      </xdr:nvSpPr>
      <xdr:spPr bwMode="auto">
        <a:xfrm>
          <a:off x="381000" y="5753100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30</xdr:row>
      <xdr:rowOff>38100</xdr:rowOff>
    </xdr:from>
    <xdr:to>
      <xdr:col>4</xdr:col>
      <xdr:colOff>381000</xdr:colOff>
      <xdr:row>30</xdr:row>
      <xdr:rowOff>161925</xdr:rowOff>
    </xdr:to>
    <xdr:sp macro="" textlink="">
      <xdr:nvSpPr>
        <xdr:cNvPr id="85295" name="Rectangle 303">
          <a:extLst>
            <a:ext uri="{FF2B5EF4-FFF2-40B4-BE49-F238E27FC236}">
              <a16:creationId xmlns:a16="http://schemas.microsoft.com/office/drawing/2014/main" id="{A6D9F8E9-C5AF-418C-8D1F-A4A4D2A09800}"/>
            </a:ext>
          </a:extLst>
        </xdr:cNvPr>
        <xdr:cNvSpPr>
          <a:spLocks noChangeArrowheads="1"/>
        </xdr:cNvSpPr>
      </xdr:nvSpPr>
      <xdr:spPr bwMode="auto">
        <a:xfrm>
          <a:off x="381000" y="5753100"/>
          <a:ext cx="2438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Grant na telepracę</a:t>
          </a:r>
        </a:p>
      </xdr:txBody>
    </xdr:sp>
    <xdr:clientData/>
  </xdr:twoCellAnchor>
  <xdr:twoCellAnchor>
    <xdr:from>
      <xdr:col>0</xdr:col>
      <xdr:colOff>381000</xdr:colOff>
      <xdr:row>30</xdr:row>
      <xdr:rowOff>38100</xdr:rowOff>
    </xdr:from>
    <xdr:to>
      <xdr:col>0</xdr:col>
      <xdr:colOff>381000</xdr:colOff>
      <xdr:row>30</xdr:row>
      <xdr:rowOff>171450</xdr:rowOff>
    </xdr:to>
    <xdr:sp macro="" textlink="">
      <xdr:nvSpPr>
        <xdr:cNvPr id="85294" name="Line 302">
          <a:extLst>
            <a:ext uri="{FF2B5EF4-FFF2-40B4-BE49-F238E27FC236}">
              <a16:creationId xmlns:a16="http://schemas.microsoft.com/office/drawing/2014/main" id="{3C8A20B0-08BF-4C11-9153-FF5BF47C36B1}"/>
            </a:ext>
          </a:extLst>
        </xdr:cNvPr>
        <xdr:cNvSpPr>
          <a:spLocks noChangeShapeType="1"/>
        </xdr:cNvSpPr>
      </xdr:nvSpPr>
      <xdr:spPr bwMode="auto">
        <a:xfrm>
          <a:off x="381000" y="5753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30</xdr:row>
      <xdr:rowOff>161925</xdr:rowOff>
    </xdr:from>
    <xdr:to>
      <xdr:col>4</xdr:col>
      <xdr:colOff>381000</xdr:colOff>
      <xdr:row>30</xdr:row>
      <xdr:rowOff>161925</xdr:rowOff>
    </xdr:to>
    <xdr:sp macro="" textlink="">
      <xdr:nvSpPr>
        <xdr:cNvPr id="85293" name="Line 301">
          <a:extLst>
            <a:ext uri="{FF2B5EF4-FFF2-40B4-BE49-F238E27FC236}">
              <a16:creationId xmlns:a16="http://schemas.microsoft.com/office/drawing/2014/main" id="{8CB579A5-F7C1-4C8B-8577-773FC8CFFC99}"/>
            </a:ext>
          </a:extLst>
        </xdr:cNvPr>
        <xdr:cNvSpPr>
          <a:spLocks noChangeShapeType="1"/>
        </xdr:cNvSpPr>
      </xdr:nvSpPr>
      <xdr:spPr bwMode="auto">
        <a:xfrm>
          <a:off x="381000" y="587692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30</xdr:row>
      <xdr:rowOff>38100</xdr:rowOff>
    </xdr:from>
    <xdr:to>
      <xdr:col>4</xdr:col>
      <xdr:colOff>381000</xdr:colOff>
      <xdr:row>30</xdr:row>
      <xdr:rowOff>171450</xdr:rowOff>
    </xdr:to>
    <xdr:sp macro="" textlink="">
      <xdr:nvSpPr>
        <xdr:cNvPr id="85292" name="Line 300">
          <a:extLst>
            <a:ext uri="{FF2B5EF4-FFF2-40B4-BE49-F238E27FC236}">
              <a16:creationId xmlns:a16="http://schemas.microsoft.com/office/drawing/2014/main" id="{EE66042F-4B7B-4046-9C90-A8EEE0F412F4}"/>
            </a:ext>
          </a:extLst>
        </xdr:cNvPr>
        <xdr:cNvSpPr>
          <a:spLocks noChangeShapeType="1"/>
        </xdr:cNvSpPr>
      </xdr:nvSpPr>
      <xdr:spPr bwMode="auto">
        <a:xfrm>
          <a:off x="2819400" y="5753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30</xdr:row>
      <xdr:rowOff>38100</xdr:rowOff>
    </xdr:from>
    <xdr:to>
      <xdr:col>5</xdr:col>
      <xdr:colOff>180975</xdr:colOff>
      <xdr:row>30</xdr:row>
      <xdr:rowOff>161925</xdr:rowOff>
    </xdr:to>
    <xdr:sp macro="" textlink="">
      <xdr:nvSpPr>
        <xdr:cNvPr id="85291" name="Rectangle 299">
          <a:extLst>
            <a:ext uri="{FF2B5EF4-FFF2-40B4-BE49-F238E27FC236}">
              <a16:creationId xmlns:a16="http://schemas.microsoft.com/office/drawing/2014/main" id="{BF14E12D-61B2-4281-8812-F8A7523DAD70}"/>
            </a:ext>
          </a:extLst>
        </xdr:cNvPr>
        <xdr:cNvSpPr>
          <a:spLocks noChangeArrowheads="1"/>
        </xdr:cNvSpPr>
      </xdr:nvSpPr>
      <xdr:spPr bwMode="auto">
        <a:xfrm>
          <a:off x="2819400" y="5753100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4</xdr:col>
      <xdr:colOff>381000</xdr:colOff>
      <xdr:row>30</xdr:row>
      <xdr:rowOff>161925</xdr:rowOff>
    </xdr:from>
    <xdr:to>
      <xdr:col>5</xdr:col>
      <xdr:colOff>180975</xdr:colOff>
      <xdr:row>30</xdr:row>
      <xdr:rowOff>161925</xdr:rowOff>
    </xdr:to>
    <xdr:sp macro="" textlink="">
      <xdr:nvSpPr>
        <xdr:cNvPr id="85290" name="Line 298">
          <a:extLst>
            <a:ext uri="{FF2B5EF4-FFF2-40B4-BE49-F238E27FC236}">
              <a16:creationId xmlns:a16="http://schemas.microsoft.com/office/drawing/2014/main" id="{8864C904-A49F-4342-84F0-82B17F5DCA79}"/>
            </a:ext>
          </a:extLst>
        </xdr:cNvPr>
        <xdr:cNvSpPr>
          <a:spLocks noChangeShapeType="1"/>
        </xdr:cNvSpPr>
      </xdr:nvSpPr>
      <xdr:spPr bwMode="auto">
        <a:xfrm>
          <a:off x="2819400" y="587692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30</xdr:row>
      <xdr:rowOff>38100</xdr:rowOff>
    </xdr:from>
    <xdr:to>
      <xdr:col>5</xdr:col>
      <xdr:colOff>180975</xdr:colOff>
      <xdr:row>30</xdr:row>
      <xdr:rowOff>171450</xdr:rowOff>
    </xdr:to>
    <xdr:sp macro="" textlink="">
      <xdr:nvSpPr>
        <xdr:cNvPr id="85289" name="Line 297">
          <a:extLst>
            <a:ext uri="{FF2B5EF4-FFF2-40B4-BE49-F238E27FC236}">
              <a16:creationId xmlns:a16="http://schemas.microsoft.com/office/drawing/2014/main" id="{BB66159B-EDB0-4477-9364-844BC201C79F}"/>
            </a:ext>
          </a:extLst>
        </xdr:cNvPr>
        <xdr:cNvSpPr>
          <a:spLocks noChangeShapeType="1"/>
        </xdr:cNvSpPr>
      </xdr:nvSpPr>
      <xdr:spPr bwMode="auto">
        <a:xfrm>
          <a:off x="3228975" y="5753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30</xdr:row>
      <xdr:rowOff>161925</xdr:rowOff>
    </xdr:from>
    <xdr:to>
      <xdr:col>7</xdr:col>
      <xdr:colOff>257175</xdr:colOff>
      <xdr:row>30</xdr:row>
      <xdr:rowOff>161925</xdr:rowOff>
    </xdr:to>
    <xdr:sp macro="" textlink="">
      <xdr:nvSpPr>
        <xdr:cNvPr id="85287" name="Line 295">
          <a:extLst>
            <a:ext uri="{FF2B5EF4-FFF2-40B4-BE49-F238E27FC236}">
              <a16:creationId xmlns:a16="http://schemas.microsoft.com/office/drawing/2014/main" id="{B6A7C0EF-DF4C-49A5-8507-F92891555264}"/>
            </a:ext>
          </a:extLst>
        </xdr:cNvPr>
        <xdr:cNvSpPr>
          <a:spLocks noChangeShapeType="1"/>
        </xdr:cNvSpPr>
      </xdr:nvSpPr>
      <xdr:spPr bwMode="auto">
        <a:xfrm>
          <a:off x="3228975" y="587692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30</xdr:row>
      <xdr:rowOff>38100</xdr:rowOff>
    </xdr:from>
    <xdr:to>
      <xdr:col>7</xdr:col>
      <xdr:colOff>257175</xdr:colOff>
      <xdr:row>30</xdr:row>
      <xdr:rowOff>171450</xdr:rowOff>
    </xdr:to>
    <xdr:sp macro="" textlink="">
      <xdr:nvSpPr>
        <xdr:cNvPr id="85286" name="Line 294">
          <a:extLst>
            <a:ext uri="{FF2B5EF4-FFF2-40B4-BE49-F238E27FC236}">
              <a16:creationId xmlns:a16="http://schemas.microsoft.com/office/drawing/2014/main" id="{18948D43-AFF5-4793-A9D5-F6A5746A7799}"/>
            </a:ext>
          </a:extLst>
        </xdr:cNvPr>
        <xdr:cNvSpPr>
          <a:spLocks noChangeShapeType="1"/>
        </xdr:cNvSpPr>
      </xdr:nvSpPr>
      <xdr:spPr bwMode="auto">
        <a:xfrm>
          <a:off x="4524375" y="5753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30</xdr:row>
      <xdr:rowOff>161925</xdr:rowOff>
    </xdr:from>
    <xdr:to>
      <xdr:col>8</xdr:col>
      <xdr:colOff>523875</xdr:colOff>
      <xdr:row>30</xdr:row>
      <xdr:rowOff>161925</xdr:rowOff>
    </xdr:to>
    <xdr:sp macro="" textlink="">
      <xdr:nvSpPr>
        <xdr:cNvPr id="85284" name="Line 292">
          <a:extLst>
            <a:ext uri="{FF2B5EF4-FFF2-40B4-BE49-F238E27FC236}">
              <a16:creationId xmlns:a16="http://schemas.microsoft.com/office/drawing/2014/main" id="{6B747D11-B87D-4AF7-B597-79A03C0C4A1F}"/>
            </a:ext>
          </a:extLst>
        </xdr:cNvPr>
        <xdr:cNvSpPr>
          <a:spLocks noChangeShapeType="1"/>
        </xdr:cNvSpPr>
      </xdr:nvSpPr>
      <xdr:spPr bwMode="auto">
        <a:xfrm>
          <a:off x="4524375" y="587692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30</xdr:row>
      <xdr:rowOff>38100</xdr:rowOff>
    </xdr:from>
    <xdr:to>
      <xdr:col>8</xdr:col>
      <xdr:colOff>523875</xdr:colOff>
      <xdr:row>30</xdr:row>
      <xdr:rowOff>171450</xdr:rowOff>
    </xdr:to>
    <xdr:sp macro="" textlink="">
      <xdr:nvSpPr>
        <xdr:cNvPr id="85283" name="Line 291">
          <a:extLst>
            <a:ext uri="{FF2B5EF4-FFF2-40B4-BE49-F238E27FC236}">
              <a16:creationId xmlns:a16="http://schemas.microsoft.com/office/drawing/2014/main" id="{3B164DF2-FD32-4392-B814-43423DB15C0F}"/>
            </a:ext>
          </a:extLst>
        </xdr:cNvPr>
        <xdr:cNvSpPr>
          <a:spLocks noChangeShapeType="1"/>
        </xdr:cNvSpPr>
      </xdr:nvSpPr>
      <xdr:spPr bwMode="auto">
        <a:xfrm>
          <a:off x="5400675" y="5753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30</xdr:row>
      <xdr:rowOff>161925</xdr:rowOff>
    </xdr:from>
    <xdr:to>
      <xdr:col>10</xdr:col>
      <xdr:colOff>190500</xdr:colOff>
      <xdr:row>30</xdr:row>
      <xdr:rowOff>161925</xdr:rowOff>
    </xdr:to>
    <xdr:sp macro="" textlink="">
      <xdr:nvSpPr>
        <xdr:cNvPr id="85281" name="Line 289">
          <a:extLst>
            <a:ext uri="{FF2B5EF4-FFF2-40B4-BE49-F238E27FC236}">
              <a16:creationId xmlns:a16="http://schemas.microsoft.com/office/drawing/2014/main" id="{CB7630FB-D955-4382-B0C2-8168CB9EFC29}"/>
            </a:ext>
          </a:extLst>
        </xdr:cNvPr>
        <xdr:cNvSpPr>
          <a:spLocks noChangeShapeType="1"/>
        </xdr:cNvSpPr>
      </xdr:nvSpPr>
      <xdr:spPr bwMode="auto">
        <a:xfrm>
          <a:off x="5400675" y="587692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30</xdr:row>
      <xdr:rowOff>38100</xdr:rowOff>
    </xdr:from>
    <xdr:to>
      <xdr:col>10</xdr:col>
      <xdr:colOff>190500</xdr:colOff>
      <xdr:row>30</xdr:row>
      <xdr:rowOff>171450</xdr:rowOff>
    </xdr:to>
    <xdr:sp macro="" textlink="">
      <xdr:nvSpPr>
        <xdr:cNvPr id="85280" name="Line 288">
          <a:extLst>
            <a:ext uri="{FF2B5EF4-FFF2-40B4-BE49-F238E27FC236}">
              <a16:creationId xmlns:a16="http://schemas.microsoft.com/office/drawing/2014/main" id="{C3E6CEA8-BF79-47E9-A896-FC51AF2504EC}"/>
            </a:ext>
          </a:extLst>
        </xdr:cNvPr>
        <xdr:cNvSpPr>
          <a:spLocks noChangeShapeType="1"/>
        </xdr:cNvSpPr>
      </xdr:nvSpPr>
      <xdr:spPr bwMode="auto">
        <a:xfrm>
          <a:off x="6286500" y="5753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30</xdr:row>
      <xdr:rowOff>161925</xdr:rowOff>
    </xdr:from>
    <xdr:to>
      <xdr:col>11</xdr:col>
      <xdr:colOff>476250</xdr:colOff>
      <xdr:row>30</xdr:row>
      <xdr:rowOff>161925</xdr:rowOff>
    </xdr:to>
    <xdr:sp macro="" textlink="">
      <xdr:nvSpPr>
        <xdr:cNvPr id="85278" name="Line 286">
          <a:extLst>
            <a:ext uri="{FF2B5EF4-FFF2-40B4-BE49-F238E27FC236}">
              <a16:creationId xmlns:a16="http://schemas.microsoft.com/office/drawing/2014/main" id="{D239B7F2-6A1C-442D-8758-F9418DC713B4}"/>
            </a:ext>
          </a:extLst>
        </xdr:cNvPr>
        <xdr:cNvSpPr>
          <a:spLocks noChangeShapeType="1"/>
        </xdr:cNvSpPr>
      </xdr:nvSpPr>
      <xdr:spPr bwMode="auto">
        <a:xfrm>
          <a:off x="6286500" y="587692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30</xdr:row>
      <xdr:rowOff>38100</xdr:rowOff>
    </xdr:from>
    <xdr:to>
      <xdr:col>11</xdr:col>
      <xdr:colOff>466725</xdr:colOff>
      <xdr:row>30</xdr:row>
      <xdr:rowOff>171450</xdr:rowOff>
    </xdr:to>
    <xdr:sp macro="" textlink="">
      <xdr:nvSpPr>
        <xdr:cNvPr id="85277" name="Line 285">
          <a:extLst>
            <a:ext uri="{FF2B5EF4-FFF2-40B4-BE49-F238E27FC236}">
              <a16:creationId xmlns:a16="http://schemas.microsoft.com/office/drawing/2014/main" id="{BA109BF8-9AAD-4618-9C65-F5AAA181766F}"/>
            </a:ext>
          </a:extLst>
        </xdr:cNvPr>
        <xdr:cNvSpPr>
          <a:spLocks noChangeShapeType="1"/>
        </xdr:cNvSpPr>
      </xdr:nvSpPr>
      <xdr:spPr bwMode="auto">
        <a:xfrm>
          <a:off x="7172325" y="5753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30</xdr:row>
      <xdr:rowOff>161925</xdr:rowOff>
    </xdr:from>
    <xdr:to>
      <xdr:col>11</xdr:col>
      <xdr:colOff>466725</xdr:colOff>
      <xdr:row>32</xdr:row>
      <xdr:rowOff>38100</xdr:rowOff>
    </xdr:to>
    <xdr:sp macro="" textlink="">
      <xdr:nvSpPr>
        <xdr:cNvPr id="85276" name="Rectangle 284">
          <a:extLst>
            <a:ext uri="{FF2B5EF4-FFF2-40B4-BE49-F238E27FC236}">
              <a16:creationId xmlns:a16="http://schemas.microsoft.com/office/drawing/2014/main" id="{CD9BBA7D-25E7-464C-A486-0EFA8A0E97A9}"/>
            </a:ext>
          </a:extLst>
        </xdr:cNvPr>
        <xdr:cNvSpPr>
          <a:spLocks noChangeArrowheads="1"/>
        </xdr:cNvSpPr>
      </xdr:nvSpPr>
      <xdr:spPr bwMode="auto">
        <a:xfrm>
          <a:off x="381000" y="5876925"/>
          <a:ext cx="6791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30</xdr:row>
      <xdr:rowOff>161925</xdr:rowOff>
    </xdr:from>
    <xdr:to>
      <xdr:col>4</xdr:col>
      <xdr:colOff>381000</xdr:colOff>
      <xdr:row>32</xdr:row>
      <xdr:rowOff>38100</xdr:rowOff>
    </xdr:to>
    <xdr:sp macro="" textlink="">
      <xdr:nvSpPr>
        <xdr:cNvPr id="85275" name="Rectangle 283">
          <a:extLst>
            <a:ext uri="{FF2B5EF4-FFF2-40B4-BE49-F238E27FC236}">
              <a16:creationId xmlns:a16="http://schemas.microsoft.com/office/drawing/2014/main" id="{AECE16BE-1768-43D7-9C51-4DEAFFDA2054}"/>
            </a:ext>
          </a:extLst>
        </xdr:cNvPr>
        <xdr:cNvSpPr>
          <a:spLocks noChangeArrowheads="1"/>
        </xdr:cNvSpPr>
      </xdr:nvSpPr>
      <xdr:spPr bwMode="auto">
        <a:xfrm>
          <a:off x="381000" y="5876925"/>
          <a:ext cx="2438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Dofinansowanie podejmowania działalności gospodarczej</a:t>
          </a:r>
        </a:p>
      </xdr:txBody>
    </xdr:sp>
    <xdr:clientData/>
  </xdr:twoCellAnchor>
  <xdr:twoCellAnchor>
    <xdr:from>
      <xdr:col>0</xdr:col>
      <xdr:colOff>381000</xdr:colOff>
      <xdr:row>30</xdr:row>
      <xdr:rowOff>161925</xdr:rowOff>
    </xdr:from>
    <xdr:to>
      <xdr:col>0</xdr:col>
      <xdr:colOff>381000</xdr:colOff>
      <xdr:row>32</xdr:row>
      <xdr:rowOff>38100</xdr:rowOff>
    </xdr:to>
    <xdr:sp macro="" textlink="">
      <xdr:nvSpPr>
        <xdr:cNvPr id="85274" name="Line 282">
          <a:extLst>
            <a:ext uri="{FF2B5EF4-FFF2-40B4-BE49-F238E27FC236}">
              <a16:creationId xmlns:a16="http://schemas.microsoft.com/office/drawing/2014/main" id="{B850D306-292F-472E-A5B7-A65F09F61706}"/>
            </a:ext>
          </a:extLst>
        </xdr:cNvPr>
        <xdr:cNvSpPr>
          <a:spLocks noChangeShapeType="1"/>
        </xdr:cNvSpPr>
      </xdr:nvSpPr>
      <xdr:spPr bwMode="auto">
        <a:xfrm>
          <a:off x="381000" y="5876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32</xdr:row>
      <xdr:rowOff>38100</xdr:rowOff>
    </xdr:from>
    <xdr:to>
      <xdr:col>4</xdr:col>
      <xdr:colOff>381000</xdr:colOff>
      <xdr:row>32</xdr:row>
      <xdr:rowOff>38100</xdr:rowOff>
    </xdr:to>
    <xdr:sp macro="" textlink="">
      <xdr:nvSpPr>
        <xdr:cNvPr id="85273" name="Line 281">
          <a:extLst>
            <a:ext uri="{FF2B5EF4-FFF2-40B4-BE49-F238E27FC236}">
              <a16:creationId xmlns:a16="http://schemas.microsoft.com/office/drawing/2014/main" id="{4D11F998-2A80-4E9C-9426-C7A46FDC306E}"/>
            </a:ext>
          </a:extLst>
        </xdr:cNvPr>
        <xdr:cNvSpPr>
          <a:spLocks noChangeShapeType="1"/>
        </xdr:cNvSpPr>
      </xdr:nvSpPr>
      <xdr:spPr bwMode="auto">
        <a:xfrm>
          <a:off x="381000" y="6134100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30</xdr:row>
      <xdr:rowOff>161925</xdr:rowOff>
    </xdr:from>
    <xdr:to>
      <xdr:col>4</xdr:col>
      <xdr:colOff>381000</xdr:colOff>
      <xdr:row>32</xdr:row>
      <xdr:rowOff>38100</xdr:rowOff>
    </xdr:to>
    <xdr:sp macro="" textlink="">
      <xdr:nvSpPr>
        <xdr:cNvPr id="85272" name="Line 280">
          <a:extLst>
            <a:ext uri="{FF2B5EF4-FFF2-40B4-BE49-F238E27FC236}">
              <a16:creationId xmlns:a16="http://schemas.microsoft.com/office/drawing/2014/main" id="{FE9C8829-52AC-4243-A9FB-DBD35DEFF894}"/>
            </a:ext>
          </a:extLst>
        </xdr:cNvPr>
        <xdr:cNvSpPr>
          <a:spLocks noChangeShapeType="1"/>
        </xdr:cNvSpPr>
      </xdr:nvSpPr>
      <xdr:spPr bwMode="auto">
        <a:xfrm>
          <a:off x="2819400" y="5876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30</xdr:row>
      <xdr:rowOff>161925</xdr:rowOff>
    </xdr:from>
    <xdr:to>
      <xdr:col>5</xdr:col>
      <xdr:colOff>180975</xdr:colOff>
      <xdr:row>32</xdr:row>
      <xdr:rowOff>38100</xdr:rowOff>
    </xdr:to>
    <xdr:sp macro="" textlink="">
      <xdr:nvSpPr>
        <xdr:cNvPr id="85271" name="Rectangle 279">
          <a:extLst>
            <a:ext uri="{FF2B5EF4-FFF2-40B4-BE49-F238E27FC236}">
              <a16:creationId xmlns:a16="http://schemas.microsoft.com/office/drawing/2014/main" id="{D4B65CDE-55F5-46AD-AAC6-52A94D7DEBAE}"/>
            </a:ext>
          </a:extLst>
        </xdr:cNvPr>
        <xdr:cNvSpPr>
          <a:spLocks noChangeArrowheads="1"/>
        </xdr:cNvSpPr>
      </xdr:nvSpPr>
      <xdr:spPr bwMode="auto">
        <a:xfrm>
          <a:off x="2819400" y="5876925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6350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4</xdr:col>
      <xdr:colOff>381000</xdr:colOff>
      <xdr:row>32</xdr:row>
      <xdr:rowOff>38100</xdr:rowOff>
    </xdr:from>
    <xdr:to>
      <xdr:col>5</xdr:col>
      <xdr:colOff>180975</xdr:colOff>
      <xdr:row>32</xdr:row>
      <xdr:rowOff>38100</xdr:rowOff>
    </xdr:to>
    <xdr:sp macro="" textlink="">
      <xdr:nvSpPr>
        <xdr:cNvPr id="85270" name="Line 278">
          <a:extLst>
            <a:ext uri="{FF2B5EF4-FFF2-40B4-BE49-F238E27FC236}">
              <a16:creationId xmlns:a16="http://schemas.microsoft.com/office/drawing/2014/main" id="{D577634A-3169-496D-8CF5-6A8B41A842CA}"/>
            </a:ext>
          </a:extLst>
        </xdr:cNvPr>
        <xdr:cNvSpPr>
          <a:spLocks noChangeShapeType="1"/>
        </xdr:cNvSpPr>
      </xdr:nvSpPr>
      <xdr:spPr bwMode="auto">
        <a:xfrm>
          <a:off x="2819400" y="6134100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30</xdr:row>
      <xdr:rowOff>161925</xdr:rowOff>
    </xdr:from>
    <xdr:to>
      <xdr:col>5</xdr:col>
      <xdr:colOff>180975</xdr:colOff>
      <xdr:row>32</xdr:row>
      <xdr:rowOff>38100</xdr:rowOff>
    </xdr:to>
    <xdr:sp macro="" textlink="">
      <xdr:nvSpPr>
        <xdr:cNvPr id="85269" name="Line 277">
          <a:extLst>
            <a:ext uri="{FF2B5EF4-FFF2-40B4-BE49-F238E27FC236}">
              <a16:creationId xmlns:a16="http://schemas.microsoft.com/office/drawing/2014/main" id="{8B3886C9-F1FA-493C-908A-9A080F814A6E}"/>
            </a:ext>
          </a:extLst>
        </xdr:cNvPr>
        <xdr:cNvSpPr>
          <a:spLocks noChangeShapeType="1"/>
        </xdr:cNvSpPr>
      </xdr:nvSpPr>
      <xdr:spPr bwMode="auto">
        <a:xfrm>
          <a:off x="3228975" y="5876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32</xdr:row>
      <xdr:rowOff>38100</xdr:rowOff>
    </xdr:from>
    <xdr:to>
      <xdr:col>7</xdr:col>
      <xdr:colOff>257175</xdr:colOff>
      <xdr:row>32</xdr:row>
      <xdr:rowOff>38100</xdr:rowOff>
    </xdr:to>
    <xdr:sp macro="" textlink="">
      <xdr:nvSpPr>
        <xdr:cNvPr id="85267" name="Line 275">
          <a:extLst>
            <a:ext uri="{FF2B5EF4-FFF2-40B4-BE49-F238E27FC236}">
              <a16:creationId xmlns:a16="http://schemas.microsoft.com/office/drawing/2014/main" id="{A3359D73-C1CD-431A-86FD-4A54BD6E5C64}"/>
            </a:ext>
          </a:extLst>
        </xdr:cNvPr>
        <xdr:cNvSpPr>
          <a:spLocks noChangeShapeType="1"/>
        </xdr:cNvSpPr>
      </xdr:nvSpPr>
      <xdr:spPr bwMode="auto">
        <a:xfrm>
          <a:off x="3228975" y="6134100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30</xdr:row>
      <xdr:rowOff>161925</xdr:rowOff>
    </xdr:from>
    <xdr:to>
      <xdr:col>7</xdr:col>
      <xdr:colOff>257175</xdr:colOff>
      <xdr:row>32</xdr:row>
      <xdr:rowOff>38100</xdr:rowOff>
    </xdr:to>
    <xdr:sp macro="" textlink="">
      <xdr:nvSpPr>
        <xdr:cNvPr id="85266" name="Line 274">
          <a:extLst>
            <a:ext uri="{FF2B5EF4-FFF2-40B4-BE49-F238E27FC236}">
              <a16:creationId xmlns:a16="http://schemas.microsoft.com/office/drawing/2014/main" id="{C026DE5D-E47E-4012-942D-9F5A63B5DAFB}"/>
            </a:ext>
          </a:extLst>
        </xdr:cNvPr>
        <xdr:cNvSpPr>
          <a:spLocks noChangeShapeType="1"/>
        </xdr:cNvSpPr>
      </xdr:nvSpPr>
      <xdr:spPr bwMode="auto">
        <a:xfrm>
          <a:off x="4524375" y="5876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32</xdr:row>
      <xdr:rowOff>38100</xdr:rowOff>
    </xdr:from>
    <xdr:to>
      <xdr:col>8</xdr:col>
      <xdr:colOff>523875</xdr:colOff>
      <xdr:row>32</xdr:row>
      <xdr:rowOff>38100</xdr:rowOff>
    </xdr:to>
    <xdr:sp macro="" textlink="">
      <xdr:nvSpPr>
        <xdr:cNvPr id="85264" name="Line 272">
          <a:extLst>
            <a:ext uri="{FF2B5EF4-FFF2-40B4-BE49-F238E27FC236}">
              <a16:creationId xmlns:a16="http://schemas.microsoft.com/office/drawing/2014/main" id="{F40B712B-B6A7-4E0C-9C8A-1F0A31016B9A}"/>
            </a:ext>
          </a:extLst>
        </xdr:cNvPr>
        <xdr:cNvSpPr>
          <a:spLocks noChangeShapeType="1"/>
        </xdr:cNvSpPr>
      </xdr:nvSpPr>
      <xdr:spPr bwMode="auto">
        <a:xfrm>
          <a:off x="4524375" y="6134100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30</xdr:row>
      <xdr:rowOff>161925</xdr:rowOff>
    </xdr:from>
    <xdr:to>
      <xdr:col>8</xdr:col>
      <xdr:colOff>523875</xdr:colOff>
      <xdr:row>32</xdr:row>
      <xdr:rowOff>38100</xdr:rowOff>
    </xdr:to>
    <xdr:sp macro="" textlink="">
      <xdr:nvSpPr>
        <xdr:cNvPr id="85263" name="Line 271">
          <a:extLst>
            <a:ext uri="{FF2B5EF4-FFF2-40B4-BE49-F238E27FC236}">
              <a16:creationId xmlns:a16="http://schemas.microsoft.com/office/drawing/2014/main" id="{97E84E11-42B2-4E64-B485-21F2B2376D6C}"/>
            </a:ext>
          </a:extLst>
        </xdr:cNvPr>
        <xdr:cNvSpPr>
          <a:spLocks noChangeShapeType="1"/>
        </xdr:cNvSpPr>
      </xdr:nvSpPr>
      <xdr:spPr bwMode="auto">
        <a:xfrm>
          <a:off x="5400675" y="5876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32</xdr:row>
      <xdr:rowOff>38100</xdr:rowOff>
    </xdr:from>
    <xdr:to>
      <xdr:col>10</xdr:col>
      <xdr:colOff>190500</xdr:colOff>
      <xdr:row>32</xdr:row>
      <xdr:rowOff>38100</xdr:rowOff>
    </xdr:to>
    <xdr:sp macro="" textlink="">
      <xdr:nvSpPr>
        <xdr:cNvPr id="85261" name="Line 269">
          <a:extLst>
            <a:ext uri="{FF2B5EF4-FFF2-40B4-BE49-F238E27FC236}">
              <a16:creationId xmlns:a16="http://schemas.microsoft.com/office/drawing/2014/main" id="{E6605994-2293-42F0-82DF-A990420320CA}"/>
            </a:ext>
          </a:extLst>
        </xdr:cNvPr>
        <xdr:cNvSpPr>
          <a:spLocks noChangeShapeType="1"/>
        </xdr:cNvSpPr>
      </xdr:nvSpPr>
      <xdr:spPr bwMode="auto">
        <a:xfrm>
          <a:off x="5400675" y="6134100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30</xdr:row>
      <xdr:rowOff>161925</xdr:rowOff>
    </xdr:from>
    <xdr:to>
      <xdr:col>10</xdr:col>
      <xdr:colOff>190500</xdr:colOff>
      <xdr:row>32</xdr:row>
      <xdr:rowOff>38100</xdr:rowOff>
    </xdr:to>
    <xdr:sp macro="" textlink="">
      <xdr:nvSpPr>
        <xdr:cNvPr id="85260" name="Line 268">
          <a:extLst>
            <a:ext uri="{FF2B5EF4-FFF2-40B4-BE49-F238E27FC236}">
              <a16:creationId xmlns:a16="http://schemas.microsoft.com/office/drawing/2014/main" id="{5619CAB5-5A46-4BD8-A26A-46DE7C2DD9F7}"/>
            </a:ext>
          </a:extLst>
        </xdr:cNvPr>
        <xdr:cNvSpPr>
          <a:spLocks noChangeShapeType="1"/>
        </xdr:cNvSpPr>
      </xdr:nvSpPr>
      <xdr:spPr bwMode="auto">
        <a:xfrm>
          <a:off x="6286500" y="5876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32</xdr:row>
      <xdr:rowOff>38100</xdr:rowOff>
    </xdr:from>
    <xdr:to>
      <xdr:col>11</xdr:col>
      <xdr:colOff>476250</xdr:colOff>
      <xdr:row>32</xdr:row>
      <xdr:rowOff>38100</xdr:rowOff>
    </xdr:to>
    <xdr:sp macro="" textlink="">
      <xdr:nvSpPr>
        <xdr:cNvPr id="85258" name="Line 266">
          <a:extLst>
            <a:ext uri="{FF2B5EF4-FFF2-40B4-BE49-F238E27FC236}">
              <a16:creationId xmlns:a16="http://schemas.microsoft.com/office/drawing/2014/main" id="{DCD793F0-CC9B-4949-BBA2-4DF35EECF36C}"/>
            </a:ext>
          </a:extLst>
        </xdr:cNvPr>
        <xdr:cNvSpPr>
          <a:spLocks noChangeShapeType="1"/>
        </xdr:cNvSpPr>
      </xdr:nvSpPr>
      <xdr:spPr bwMode="auto">
        <a:xfrm>
          <a:off x="6286500" y="6134100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30</xdr:row>
      <xdr:rowOff>161925</xdr:rowOff>
    </xdr:from>
    <xdr:to>
      <xdr:col>11</xdr:col>
      <xdr:colOff>466725</xdr:colOff>
      <xdr:row>32</xdr:row>
      <xdr:rowOff>38100</xdr:rowOff>
    </xdr:to>
    <xdr:sp macro="" textlink="">
      <xdr:nvSpPr>
        <xdr:cNvPr id="85257" name="Line 265">
          <a:extLst>
            <a:ext uri="{FF2B5EF4-FFF2-40B4-BE49-F238E27FC236}">
              <a16:creationId xmlns:a16="http://schemas.microsoft.com/office/drawing/2014/main" id="{373F0130-E64E-4957-8486-C6D4E503EE5B}"/>
            </a:ext>
          </a:extLst>
        </xdr:cNvPr>
        <xdr:cNvSpPr>
          <a:spLocks noChangeShapeType="1"/>
        </xdr:cNvSpPr>
      </xdr:nvSpPr>
      <xdr:spPr bwMode="auto">
        <a:xfrm>
          <a:off x="7172325" y="5876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514350</xdr:colOff>
      <xdr:row>32</xdr:row>
      <xdr:rowOff>0</xdr:rowOff>
    </xdr:from>
    <xdr:to>
      <xdr:col>11</xdr:col>
      <xdr:colOff>600075</xdr:colOff>
      <xdr:row>32</xdr:row>
      <xdr:rowOff>123825</xdr:rowOff>
    </xdr:to>
    <xdr:sp macro="" textlink="">
      <xdr:nvSpPr>
        <xdr:cNvPr id="85256" name="Rectangle 264">
          <a:extLst>
            <a:ext uri="{FF2B5EF4-FFF2-40B4-BE49-F238E27FC236}">
              <a16:creationId xmlns:a16="http://schemas.microsoft.com/office/drawing/2014/main" id="{A53DE4DC-0B46-4E7A-A5F5-39EA18D33A69}"/>
            </a:ext>
          </a:extLst>
        </xdr:cNvPr>
        <xdr:cNvSpPr>
          <a:spLocks noChangeArrowheads="1"/>
        </xdr:cNvSpPr>
      </xdr:nvSpPr>
      <xdr:spPr bwMode="auto">
        <a:xfrm>
          <a:off x="514350" y="6096000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32</xdr:row>
      <xdr:rowOff>38100</xdr:rowOff>
    </xdr:from>
    <xdr:to>
      <xdr:col>1</xdr:col>
      <xdr:colOff>180975</xdr:colOff>
      <xdr:row>32</xdr:row>
      <xdr:rowOff>161925</xdr:rowOff>
    </xdr:to>
    <xdr:sp macro="" textlink="">
      <xdr:nvSpPr>
        <xdr:cNvPr id="85255" name="Rectangle 263">
          <a:extLst>
            <a:ext uri="{FF2B5EF4-FFF2-40B4-BE49-F238E27FC236}">
              <a16:creationId xmlns:a16="http://schemas.microsoft.com/office/drawing/2014/main" id="{9B5ED57A-6FB1-4385-9823-EE8F5C52E5E4}"/>
            </a:ext>
          </a:extLst>
        </xdr:cNvPr>
        <xdr:cNvSpPr>
          <a:spLocks noChangeArrowheads="1"/>
        </xdr:cNvSpPr>
      </xdr:nvSpPr>
      <xdr:spPr bwMode="auto">
        <a:xfrm>
          <a:off x="381000" y="6134100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w tym</a:t>
          </a:r>
        </a:p>
      </xdr:txBody>
    </xdr:sp>
    <xdr:clientData/>
  </xdr:twoCellAnchor>
  <xdr:twoCellAnchor>
    <xdr:from>
      <xdr:col>0</xdr:col>
      <xdr:colOff>381000</xdr:colOff>
      <xdr:row>32</xdr:row>
      <xdr:rowOff>38100</xdr:rowOff>
    </xdr:from>
    <xdr:to>
      <xdr:col>0</xdr:col>
      <xdr:colOff>381000</xdr:colOff>
      <xdr:row>32</xdr:row>
      <xdr:rowOff>171450</xdr:rowOff>
    </xdr:to>
    <xdr:sp macro="" textlink="">
      <xdr:nvSpPr>
        <xdr:cNvPr id="85254" name="Line 262">
          <a:extLst>
            <a:ext uri="{FF2B5EF4-FFF2-40B4-BE49-F238E27FC236}">
              <a16:creationId xmlns:a16="http://schemas.microsoft.com/office/drawing/2014/main" id="{3B6E5CA3-9FA9-47F2-A074-0F6DE89ABF53}"/>
            </a:ext>
          </a:extLst>
        </xdr:cNvPr>
        <xdr:cNvSpPr>
          <a:spLocks noChangeShapeType="1"/>
        </xdr:cNvSpPr>
      </xdr:nvSpPr>
      <xdr:spPr bwMode="auto">
        <a:xfrm>
          <a:off x="381000" y="6134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32</xdr:row>
      <xdr:rowOff>161925</xdr:rowOff>
    </xdr:from>
    <xdr:to>
      <xdr:col>1</xdr:col>
      <xdr:colOff>180975</xdr:colOff>
      <xdr:row>32</xdr:row>
      <xdr:rowOff>161925</xdr:rowOff>
    </xdr:to>
    <xdr:sp macro="" textlink="">
      <xdr:nvSpPr>
        <xdr:cNvPr id="85253" name="Line 261">
          <a:extLst>
            <a:ext uri="{FF2B5EF4-FFF2-40B4-BE49-F238E27FC236}">
              <a16:creationId xmlns:a16="http://schemas.microsoft.com/office/drawing/2014/main" id="{BCE9D0C7-452C-4480-BADF-9A7443E696F8}"/>
            </a:ext>
          </a:extLst>
        </xdr:cNvPr>
        <xdr:cNvSpPr>
          <a:spLocks noChangeShapeType="1"/>
        </xdr:cNvSpPr>
      </xdr:nvSpPr>
      <xdr:spPr bwMode="auto">
        <a:xfrm>
          <a:off x="381000" y="625792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180975</xdr:colOff>
      <xdr:row>32</xdr:row>
      <xdr:rowOff>38100</xdr:rowOff>
    </xdr:from>
    <xdr:to>
      <xdr:col>1</xdr:col>
      <xdr:colOff>180975</xdr:colOff>
      <xdr:row>32</xdr:row>
      <xdr:rowOff>171450</xdr:rowOff>
    </xdr:to>
    <xdr:sp macro="" textlink="">
      <xdr:nvSpPr>
        <xdr:cNvPr id="85252" name="Line 260">
          <a:extLst>
            <a:ext uri="{FF2B5EF4-FFF2-40B4-BE49-F238E27FC236}">
              <a16:creationId xmlns:a16="http://schemas.microsoft.com/office/drawing/2014/main" id="{746E5188-3FA7-4159-A061-B21BDF8B2BCD}"/>
            </a:ext>
          </a:extLst>
        </xdr:cNvPr>
        <xdr:cNvSpPr>
          <a:spLocks noChangeShapeType="1"/>
        </xdr:cNvSpPr>
      </xdr:nvSpPr>
      <xdr:spPr bwMode="auto">
        <a:xfrm>
          <a:off x="790575" y="6134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180975</xdr:colOff>
      <xdr:row>32</xdr:row>
      <xdr:rowOff>38100</xdr:rowOff>
    </xdr:from>
    <xdr:to>
      <xdr:col>4</xdr:col>
      <xdr:colOff>381000</xdr:colOff>
      <xdr:row>32</xdr:row>
      <xdr:rowOff>161925</xdr:rowOff>
    </xdr:to>
    <xdr:sp macro="" textlink="">
      <xdr:nvSpPr>
        <xdr:cNvPr id="85251" name="Rectangle 259">
          <a:extLst>
            <a:ext uri="{FF2B5EF4-FFF2-40B4-BE49-F238E27FC236}">
              <a16:creationId xmlns:a16="http://schemas.microsoft.com/office/drawing/2014/main" id="{25F10AD3-A4CB-4E72-BD17-566F24AD48B8}"/>
            </a:ext>
          </a:extLst>
        </xdr:cNvPr>
        <xdr:cNvSpPr>
          <a:spLocks noChangeArrowheads="1"/>
        </xdr:cNvSpPr>
      </xdr:nvSpPr>
      <xdr:spPr bwMode="auto">
        <a:xfrm>
          <a:off x="790575" y="6134100"/>
          <a:ext cx="2028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w ramach spółdzielni socjalnej</a:t>
          </a:r>
        </a:p>
      </xdr:txBody>
    </xdr:sp>
    <xdr:clientData/>
  </xdr:twoCellAnchor>
  <xdr:twoCellAnchor>
    <xdr:from>
      <xdr:col>1</xdr:col>
      <xdr:colOff>180975</xdr:colOff>
      <xdr:row>32</xdr:row>
      <xdr:rowOff>161925</xdr:rowOff>
    </xdr:from>
    <xdr:to>
      <xdr:col>4</xdr:col>
      <xdr:colOff>381000</xdr:colOff>
      <xdr:row>32</xdr:row>
      <xdr:rowOff>161925</xdr:rowOff>
    </xdr:to>
    <xdr:sp macro="" textlink="">
      <xdr:nvSpPr>
        <xdr:cNvPr id="85250" name="Line 258">
          <a:extLst>
            <a:ext uri="{FF2B5EF4-FFF2-40B4-BE49-F238E27FC236}">
              <a16:creationId xmlns:a16="http://schemas.microsoft.com/office/drawing/2014/main" id="{F3F5666A-F7C7-4220-8D27-752719A32FEE}"/>
            </a:ext>
          </a:extLst>
        </xdr:cNvPr>
        <xdr:cNvSpPr>
          <a:spLocks noChangeShapeType="1"/>
        </xdr:cNvSpPr>
      </xdr:nvSpPr>
      <xdr:spPr bwMode="auto">
        <a:xfrm>
          <a:off x="790575" y="6257925"/>
          <a:ext cx="2028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32</xdr:row>
      <xdr:rowOff>38100</xdr:rowOff>
    </xdr:from>
    <xdr:to>
      <xdr:col>4</xdr:col>
      <xdr:colOff>381000</xdr:colOff>
      <xdr:row>32</xdr:row>
      <xdr:rowOff>171450</xdr:rowOff>
    </xdr:to>
    <xdr:sp macro="" textlink="">
      <xdr:nvSpPr>
        <xdr:cNvPr id="85249" name="Line 257">
          <a:extLst>
            <a:ext uri="{FF2B5EF4-FFF2-40B4-BE49-F238E27FC236}">
              <a16:creationId xmlns:a16="http://schemas.microsoft.com/office/drawing/2014/main" id="{96760453-D3E4-4453-8B94-37C58802DCE4}"/>
            </a:ext>
          </a:extLst>
        </xdr:cNvPr>
        <xdr:cNvSpPr>
          <a:spLocks noChangeShapeType="1"/>
        </xdr:cNvSpPr>
      </xdr:nvSpPr>
      <xdr:spPr bwMode="auto">
        <a:xfrm>
          <a:off x="2819400" y="6134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32</xdr:row>
      <xdr:rowOff>38100</xdr:rowOff>
    </xdr:from>
    <xdr:to>
      <xdr:col>5</xdr:col>
      <xdr:colOff>180975</xdr:colOff>
      <xdr:row>32</xdr:row>
      <xdr:rowOff>161925</xdr:rowOff>
    </xdr:to>
    <xdr:sp macro="" textlink="">
      <xdr:nvSpPr>
        <xdr:cNvPr id="85248" name="Rectangle 256">
          <a:extLst>
            <a:ext uri="{FF2B5EF4-FFF2-40B4-BE49-F238E27FC236}">
              <a16:creationId xmlns:a16="http://schemas.microsoft.com/office/drawing/2014/main" id="{C0806BB1-692B-4514-9BD4-B8499827136E}"/>
            </a:ext>
          </a:extLst>
        </xdr:cNvPr>
        <xdr:cNvSpPr>
          <a:spLocks noChangeArrowheads="1"/>
        </xdr:cNvSpPr>
      </xdr:nvSpPr>
      <xdr:spPr bwMode="auto">
        <a:xfrm>
          <a:off x="2819400" y="6134100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4</xdr:col>
      <xdr:colOff>381000</xdr:colOff>
      <xdr:row>32</xdr:row>
      <xdr:rowOff>161925</xdr:rowOff>
    </xdr:from>
    <xdr:to>
      <xdr:col>5</xdr:col>
      <xdr:colOff>180975</xdr:colOff>
      <xdr:row>32</xdr:row>
      <xdr:rowOff>161925</xdr:rowOff>
    </xdr:to>
    <xdr:sp macro="" textlink="">
      <xdr:nvSpPr>
        <xdr:cNvPr id="85247" name="Line 255">
          <a:extLst>
            <a:ext uri="{FF2B5EF4-FFF2-40B4-BE49-F238E27FC236}">
              <a16:creationId xmlns:a16="http://schemas.microsoft.com/office/drawing/2014/main" id="{648919E2-E5D2-42AE-9BDC-0D8D9D28EA3F}"/>
            </a:ext>
          </a:extLst>
        </xdr:cNvPr>
        <xdr:cNvSpPr>
          <a:spLocks noChangeShapeType="1"/>
        </xdr:cNvSpPr>
      </xdr:nvSpPr>
      <xdr:spPr bwMode="auto">
        <a:xfrm>
          <a:off x="2819400" y="625792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32</xdr:row>
      <xdr:rowOff>38100</xdr:rowOff>
    </xdr:from>
    <xdr:to>
      <xdr:col>5</xdr:col>
      <xdr:colOff>180975</xdr:colOff>
      <xdr:row>32</xdr:row>
      <xdr:rowOff>171450</xdr:rowOff>
    </xdr:to>
    <xdr:sp macro="" textlink="">
      <xdr:nvSpPr>
        <xdr:cNvPr id="85246" name="Line 254">
          <a:extLst>
            <a:ext uri="{FF2B5EF4-FFF2-40B4-BE49-F238E27FC236}">
              <a16:creationId xmlns:a16="http://schemas.microsoft.com/office/drawing/2014/main" id="{0F2009BC-22CA-4234-A1F0-4FFAA06852B1}"/>
            </a:ext>
          </a:extLst>
        </xdr:cNvPr>
        <xdr:cNvSpPr>
          <a:spLocks noChangeShapeType="1"/>
        </xdr:cNvSpPr>
      </xdr:nvSpPr>
      <xdr:spPr bwMode="auto">
        <a:xfrm>
          <a:off x="3228975" y="6134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32</xdr:row>
      <xdr:rowOff>161925</xdr:rowOff>
    </xdr:from>
    <xdr:to>
      <xdr:col>7</xdr:col>
      <xdr:colOff>257175</xdr:colOff>
      <xdr:row>32</xdr:row>
      <xdr:rowOff>161925</xdr:rowOff>
    </xdr:to>
    <xdr:sp macro="" textlink="">
      <xdr:nvSpPr>
        <xdr:cNvPr id="85244" name="Line 252">
          <a:extLst>
            <a:ext uri="{FF2B5EF4-FFF2-40B4-BE49-F238E27FC236}">
              <a16:creationId xmlns:a16="http://schemas.microsoft.com/office/drawing/2014/main" id="{3EA5BD88-255D-4712-B528-C77AA5340C18}"/>
            </a:ext>
          </a:extLst>
        </xdr:cNvPr>
        <xdr:cNvSpPr>
          <a:spLocks noChangeShapeType="1"/>
        </xdr:cNvSpPr>
      </xdr:nvSpPr>
      <xdr:spPr bwMode="auto">
        <a:xfrm>
          <a:off x="3228975" y="625792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32</xdr:row>
      <xdr:rowOff>38100</xdr:rowOff>
    </xdr:from>
    <xdr:to>
      <xdr:col>7</xdr:col>
      <xdr:colOff>257175</xdr:colOff>
      <xdr:row>32</xdr:row>
      <xdr:rowOff>171450</xdr:rowOff>
    </xdr:to>
    <xdr:sp macro="" textlink="">
      <xdr:nvSpPr>
        <xdr:cNvPr id="85243" name="Line 251">
          <a:extLst>
            <a:ext uri="{FF2B5EF4-FFF2-40B4-BE49-F238E27FC236}">
              <a16:creationId xmlns:a16="http://schemas.microsoft.com/office/drawing/2014/main" id="{0071C0A7-ACE1-4DE5-ABC8-D57CB0ABC08C}"/>
            </a:ext>
          </a:extLst>
        </xdr:cNvPr>
        <xdr:cNvSpPr>
          <a:spLocks noChangeShapeType="1"/>
        </xdr:cNvSpPr>
      </xdr:nvSpPr>
      <xdr:spPr bwMode="auto">
        <a:xfrm>
          <a:off x="4524375" y="6134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32</xdr:row>
      <xdr:rowOff>161925</xdr:rowOff>
    </xdr:from>
    <xdr:to>
      <xdr:col>8</xdr:col>
      <xdr:colOff>523875</xdr:colOff>
      <xdr:row>32</xdr:row>
      <xdr:rowOff>161925</xdr:rowOff>
    </xdr:to>
    <xdr:sp macro="" textlink="">
      <xdr:nvSpPr>
        <xdr:cNvPr id="85241" name="Line 249">
          <a:extLst>
            <a:ext uri="{FF2B5EF4-FFF2-40B4-BE49-F238E27FC236}">
              <a16:creationId xmlns:a16="http://schemas.microsoft.com/office/drawing/2014/main" id="{BB931DB3-573B-4614-A58C-BF7801ED5C3A}"/>
            </a:ext>
          </a:extLst>
        </xdr:cNvPr>
        <xdr:cNvSpPr>
          <a:spLocks noChangeShapeType="1"/>
        </xdr:cNvSpPr>
      </xdr:nvSpPr>
      <xdr:spPr bwMode="auto">
        <a:xfrm>
          <a:off x="4524375" y="625792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32</xdr:row>
      <xdr:rowOff>38100</xdr:rowOff>
    </xdr:from>
    <xdr:to>
      <xdr:col>8</xdr:col>
      <xdr:colOff>523875</xdr:colOff>
      <xdr:row>32</xdr:row>
      <xdr:rowOff>171450</xdr:rowOff>
    </xdr:to>
    <xdr:sp macro="" textlink="">
      <xdr:nvSpPr>
        <xdr:cNvPr id="85240" name="Line 248">
          <a:extLst>
            <a:ext uri="{FF2B5EF4-FFF2-40B4-BE49-F238E27FC236}">
              <a16:creationId xmlns:a16="http://schemas.microsoft.com/office/drawing/2014/main" id="{B19357D0-51CF-4242-B768-7F3F12634C2C}"/>
            </a:ext>
          </a:extLst>
        </xdr:cNvPr>
        <xdr:cNvSpPr>
          <a:spLocks noChangeShapeType="1"/>
        </xdr:cNvSpPr>
      </xdr:nvSpPr>
      <xdr:spPr bwMode="auto">
        <a:xfrm>
          <a:off x="5400675" y="6134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32</xdr:row>
      <xdr:rowOff>161925</xdr:rowOff>
    </xdr:from>
    <xdr:to>
      <xdr:col>10</xdr:col>
      <xdr:colOff>190500</xdr:colOff>
      <xdr:row>32</xdr:row>
      <xdr:rowOff>161925</xdr:rowOff>
    </xdr:to>
    <xdr:sp macro="" textlink="">
      <xdr:nvSpPr>
        <xdr:cNvPr id="85238" name="Line 246">
          <a:extLst>
            <a:ext uri="{FF2B5EF4-FFF2-40B4-BE49-F238E27FC236}">
              <a16:creationId xmlns:a16="http://schemas.microsoft.com/office/drawing/2014/main" id="{D8B37A0C-9BBB-4FF4-8496-44C22F641ADA}"/>
            </a:ext>
          </a:extLst>
        </xdr:cNvPr>
        <xdr:cNvSpPr>
          <a:spLocks noChangeShapeType="1"/>
        </xdr:cNvSpPr>
      </xdr:nvSpPr>
      <xdr:spPr bwMode="auto">
        <a:xfrm>
          <a:off x="5400675" y="625792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32</xdr:row>
      <xdr:rowOff>38100</xdr:rowOff>
    </xdr:from>
    <xdr:to>
      <xdr:col>10</xdr:col>
      <xdr:colOff>190500</xdr:colOff>
      <xdr:row>32</xdr:row>
      <xdr:rowOff>171450</xdr:rowOff>
    </xdr:to>
    <xdr:sp macro="" textlink="">
      <xdr:nvSpPr>
        <xdr:cNvPr id="85237" name="Line 245">
          <a:extLst>
            <a:ext uri="{FF2B5EF4-FFF2-40B4-BE49-F238E27FC236}">
              <a16:creationId xmlns:a16="http://schemas.microsoft.com/office/drawing/2014/main" id="{CF2CFFB7-6ED7-4ACB-AF21-8D759CD16470}"/>
            </a:ext>
          </a:extLst>
        </xdr:cNvPr>
        <xdr:cNvSpPr>
          <a:spLocks noChangeShapeType="1"/>
        </xdr:cNvSpPr>
      </xdr:nvSpPr>
      <xdr:spPr bwMode="auto">
        <a:xfrm>
          <a:off x="6286500" y="6134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32</xdr:row>
      <xdr:rowOff>161925</xdr:rowOff>
    </xdr:from>
    <xdr:to>
      <xdr:col>11</xdr:col>
      <xdr:colOff>476250</xdr:colOff>
      <xdr:row>32</xdr:row>
      <xdr:rowOff>161925</xdr:rowOff>
    </xdr:to>
    <xdr:sp macro="" textlink="">
      <xdr:nvSpPr>
        <xdr:cNvPr id="85235" name="Line 243">
          <a:extLst>
            <a:ext uri="{FF2B5EF4-FFF2-40B4-BE49-F238E27FC236}">
              <a16:creationId xmlns:a16="http://schemas.microsoft.com/office/drawing/2014/main" id="{518F7FAA-C547-4068-80A9-581C4AC1CB95}"/>
            </a:ext>
          </a:extLst>
        </xdr:cNvPr>
        <xdr:cNvSpPr>
          <a:spLocks noChangeShapeType="1"/>
        </xdr:cNvSpPr>
      </xdr:nvSpPr>
      <xdr:spPr bwMode="auto">
        <a:xfrm>
          <a:off x="6286500" y="625792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32</xdr:row>
      <xdr:rowOff>38100</xdr:rowOff>
    </xdr:from>
    <xdr:to>
      <xdr:col>11</xdr:col>
      <xdr:colOff>466725</xdr:colOff>
      <xdr:row>32</xdr:row>
      <xdr:rowOff>171450</xdr:rowOff>
    </xdr:to>
    <xdr:sp macro="" textlink="">
      <xdr:nvSpPr>
        <xdr:cNvPr id="85234" name="Line 242">
          <a:extLst>
            <a:ext uri="{FF2B5EF4-FFF2-40B4-BE49-F238E27FC236}">
              <a16:creationId xmlns:a16="http://schemas.microsoft.com/office/drawing/2014/main" id="{1E211CA2-F5B7-406A-A0B2-F2974372623B}"/>
            </a:ext>
          </a:extLst>
        </xdr:cNvPr>
        <xdr:cNvSpPr>
          <a:spLocks noChangeShapeType="1"/>
        </xdr:cNvSpPr>
      </xdr:nvSpPr>
      <xdr:spPr bwMode="auto">
        <a:xfrm>
          <a:off x="7172325" y="6134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32</xdr:row>
      <xdr:rowOff>161925</xdr:rowOff>
    </xdr:from>
    <xdr:to>
      <xdr:col>11</xdr:col>
      <xdr:colOff>466725</xdr:colOff>
      <xdr:row>34</xdr:row>
      <xdr:rowOff>38100</xdr:rowOff>
    </xdr:to>
    <xdr:sp macro="" textlink="">
      <xdr:nvSpPr>
        <xdr:cNvPr id="85233" name="Rectangle 241">
          <a:extLst>
            <a:ext uri="{FF2B5EF4-FFF2-40B4-BE49-F238E27FC236}">
              <a16:creationId xmlns:a16="http://schemas.microsoft.com/office/drawing/2014/main" id="{7A2F2413-EDFC-455E-AAF5-A187C8450F21}"/>
            </a:ext>
          </a:extLst>
        </xdr:cNvPr>
        <xdr:cNvSpPr>
          <a:spLocks noChangeArrowheads="1"/>
        </xdr:cNvSpPr>
      </xdr:nvSpPr>
      <xdr:spPr bwMode="auto">
        <a:xfrm>
          <a:off x="381000" y="6257925"/>
          <a:ext cx="6791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32</xdr:row>
      <xdr:rowOff>161925</xdr:rowOff>
    </xdr:from>
    <xdr:to>
      <xdr:col>4</xdr:col>
      <xdr:colOff>381000</xdr:colOff>
      <xdr:row>34</xdr:row>
      <xdr:rowOff>38100</xdr:rowOff>
    </xdr:to>
    <xdr:sp macro="" textlink="">
      <xdr:nvSpPr>
        <xdr:cNvPr id="85232" name="Rectangle 240">
          <a:extLst>
            <a:ext uri="{FF2B5EF4-FFF2-40B4-BE49-F238E27FC236}">
              <a16:creationId xmlns:a16="http://schemas.microsoft.com/office/drawing/2014/main" id="{9661B14C-24A9-48AF-BD33-05FE21D1B4AC}"/>
            </a:ext>
          </a:extLst>
        </xdr:cNvPr>
        <xdr:cNvSpPr>
          <a:spLocks noChangeArrowheads="1"/>
        </xdr:cNvSpPr>
      </xdr:nvSpPr>
      <xdr:spPr bwMode="auto">
        <a:xfrm>
          <a:off x="381000" y="6257925"/>
          <a:ext cx="2438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Refundacja kosztów wyposażenia i doposażenia stanowiska pracy</a:t>
          </a:r>
        </a:p>
      </xdr:txBody>
    </xdr:sp>
    <xdr:clientData/>
  </xdr:twoCellAnchor>
  <xdr:twoCellAnchor>
    <xdr:from>
      <xdr:col>0</xdr:col>
      <xdr:colOff>381000</xdr:colOff>
      <xdr:row>32</xdr:row>
      <xdr:rowOff>161925</xdr:rowOff>
    </xdr:from>
    <xdr:to>
      <xdr:col>0</xdr:col>
      <xdr:colOff>381000</xdr:colOff>
      <xdr:row>34</xdr:row>
      <xdr:rowOff>38100</xdr:rowOff>
    </xdr:to>
    <xdr:sp macro="" textlink="">
      <xdr:nvSpPr>
        <xdr:cNvPr id="85231" name="Line 239">
          <a:extLst>
            <a:ext uri="{FF2B5EF4-FFF2-40B4-BE49-F238E27FC236}">
              <a16:creationId xmlns:a16="http://schemas.microsoft.com/office/drawing/2014/main" id="{114416F6-C00A-47F6-9352-D7F1E11764E7}"/>
            </a:ext>
          </a:extLst>
        </xdr:cNvPr>
        <xdr:cNvSpPr>
          <a:spLocks noChangeShapeType="1"/>
        </xdr:cNvSpPr>
      </xdr:nvSpPr>
      <xdr:spPr bwMode="auto">
        <a:xfrm>
          <a:off x="381000" y="6257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34</xdr:row>
      <xdr:rowOff>38100</xdr:rowOff>
    </xdr:from>
    <xdr:to>
      <xdr:col>4</xdr:col>
      <xdr:colOff>381000</xdr:colOff>
      <xdr:row>34</xdr:row>
      <xdr:rowOff>38100</xdr:rowOff>
    </xdr:to>
    <xdr:sp macro="" textlink="">
      <xdr:nvSpPr>
        <xdr:cNvPr id="85230" name="Line 238">
          <a:extLst>
            <a:ext uri="{FF2B5EF4-FFF2-40B4-BE49-F238E27FC236}">
              <a16:creationId xmlns:a16="http://schemas.microsoft.com/office/drawing/2014/main" id="{9C46D2F5-A1C1-4417-9EAA-BD2B15B6DFC8}"/>
            </a:ext>
          </a:extLst>
        </xdr:cNvPr>
        <xdr:cNvSpPr>
          <a:spLocks noChangeShapeType="1"/>
        </xdr:cNvSpPr>
      </xdr:nvSpPr>
      <xdr:spPr bwMode="auto">
        <a:xfrm>
          <a:off x="381000" y="6515100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32</xdr:row>
      <xdr:rowOff>161925</xdr:rowOff>
    </xdr:from>
    <xdr:to>
      <xdr:col>4</xdr:col>
      <xdr:colOff>381000</xdr:colOff>
      <xdr:row>34</xdr:row>
      <xdr:rowOff>38100</xdr:rowOff>
    </xdr:to>
    <xdr:sp macro="" textlink="">
      <xdr:nvSpPr>
        <xdr:cNvPr id="85229" name="Line 237">
          <a:extLst>
            <a:ext uri="{FF2B5EF4-FFF2-40B4-BE49-F238E27FC236}">
              <a16:creationId xmlns:a16="http://schemas.microsoft.com/office/drawing/2014/main" id="{6C3A410A-1941-412C-9A7E-E98C3857FCEA}"/>
            </a:ext>
          </a:extLst>
        </xdr:cNvPr>
        <xdr:cNvSpPr>
          <a:spLocks noChangeShapeType="1"/>
        </xdr:cNvSpPr>
      </xdr:nvSpPr>
      <xdr:spPr bwMode="auto">
        <a:xfrm>
          <a:off x="2819400" y="6257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32</xdr:row>
      <xdr:rowOff>161925</xdr:rowOff>
    </xdr:from>
    <xdr:to>
      <xdr:col>5</xdr:col>
      <xdr:colOff>180975</xdr:colOff>
      <xdr:row>34</xdr:row>
      <xdr:rowOff>38100</xdr:rowOff>
    </xdr:to>
    <xdr:sp macro="" textlink="">
      <xdr:nvSpPr>
        <xdr:cNvPr id="85228" name="Rectangle 236">
          <a:extLst>
            <a:ext uri="{FF2B5EF4-FFF2-40B4-BE49-F238E27FC236}">
              <a16:creationId xmlns:a16="http://schemas.microsoft.com/office/drawing/2014/main" id="{1218A713-4F1B-4CE6-9A98-7A94B0F8C775}"/>
            </a:ext>
          </a:extLst>
        </xdr:cNvPr>
        <xdr:cNvSpPr>
          <a:spLocks noChangeArrowheads="1"/>
        </xdr:cNvSpPr>
      </xdr:nvSpPr>
      <xdr:spPr bwMode="auto">
        <a:xfrm>
          <a:off x="2819400" y="6257925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6350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381000</xdr:colOff>
      <xdr:row>34</xdr:row>
      <xdr:rowOff>38100</xdr:rowOff>
    </xdr:from>
    <xdr:to>
      <xdr:col>5</xdr:col>
      <xdr:colOff>180975</xdr:colOff>
      <xdr:row>34</xdr:row>
      <xdr:rowOff>38100</xdr:rowOff>
    </xdr:to>
    <xdr:sp macro="" textlink="">
      <xdr:nvSpPr>
        <xdr:cNvPr id="85227" name="Line 235">
          <a:extLst>
            <a:ext uri="{FF2B5EF4-FFF2-40B4-BE49-F238E27FC236}">
              <a16:creationId xmlns:a16="http://schemas.microsoft.com/office/drawing/2014/main" id="{09FF937E-3D47-4839-AA71-911A0D22ECBD}"/>
            </a:ext>
          </a:extLst>
        </xdr:cNvPr>
        <xdr:cNvSpPr>
          <a:spLocks noChangeShapeType="1"/>
        </xdr:cNvSpPr>
      </xdr:nvSpPr>
      <xdr:spPr bwMode="auto">
        <a:xfrm>
          <a:off x="2819400" y="6515100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32</xdr:row>
      <xdr:rowOff>161925</xdr:rowOff>
    </xdr:from>
    <xdr:to>
      <xdr:col>5</xdr:col>
      <xdr:colOff>180975</xdr:colOff>
      <xdr:row>34</xdr:row>
      <xdr:rowOff>38100</xdr:rowOff>
    </xdr:to>
    <xdr:sp macro="" textlink="">
      <xdr:nvSpPr>
        <xdr:cNvPr id="85226" name="Line 234">
          <a:extLst>
            <a:ext uri="{FF2B5EF4-FFF2-40B4-BE49-F238E27FC236}">
              <a16:creationId xmlns:a16="http://schemas.microsoft.com/office/drawing/2014/main" id="{C7D2E7B2-0A01-406A-8037-F5AB4449B158}"/>
            </a:ext>
          </a:extLst>
        </xdr:cNvPr>
        <xdr:cNvSpPr>
          <a:spLocks noChangeShapeType="1"/>
        </xdr:cNvSpPr>
      </xdr:nvSpPr>
      <xdr:spPr bwMode="auto">
        <a:xfrm>
          <a:off x="3228975" y="6257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34</xdr:row>
      <xdr:rowOff>38100</xdr:rowOff>
    </xdr:from>
    <xdr:to>
      <xdr:col>7</xdr:col>
      <xdr:colOff>257175</xdr:colOff>
      <xdr:row>34</xdr:row>
      <xdr:rowOff>38100</xdr:rowOff>
    </xdr:to>
    <xdr:sp macro="" textlink="">
      <xdr:nvSpPr>
        <xdr:cNvPr id="85224" name="Line 232">
          <a:extLst>
            <a:ext uri="{FF2B5EF4-FFF2-40B4-BE49-F238E27FC236}">
              <a16:creationId xmlns:a16="http://schemas.microsoft.com/office/drawing/2014/main" id="{A6FE3E08-2F04-4E31-8DC6-904A0145155D}"/>
            </a:ext>
          </a:extLst>
        </xdr:cNvPr>
        <xdr:cNvSpPr>
          <a:spLocks noChangeShapeType="1"/>
        </xdr:cNvSpPr>
      </xdr:nvSpPr>
      <xdr:spPr bwMode="auto">
        <a:xfrm>
          <a:off x="3228975" y="6515100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32</xdr:row>
      <xdr:rowOff>161925</xdr:rowOff>
    </xdr:from>
    <xdr:to>
      <xdr:col>7</xdr:col>
      <xdr:colOff>257175</xdr:colOff>
      <xdr:row>34</xdr:row>
      <xdr:rowOff>38100</xdr:rowOff>
    </xdr:to>
    <xdr:sp macro="" textlink="">
      <xdr:nvSpPr>
        <xdr:cNvPr id="85223" name="Line 231">
          <a:extLst>
            <a:ext uri="{FF2B5EF4-FFF2-40B4-BE49-F238E27FC236}">
              <a16:creationId xmlns:a16="http://schemas.microsoft.com/office/drawing/2014/main" id="{95378D14-90CA-4068-9DA4-363DE484618C}"/>
            </a:ext>
          </a:extLst>
        </xdr:cNvPr>
        <xdr:cNvSpPr>
          <a:spLocks noChangeShapeType="1"/>
        </xdr:cNvSpPr>
      </xdr:nvSpPr>
      <xdr:spPr bwMode="auto">
        <a:xfrm>
          <a:off x="4524375" y="6257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34</xdr:row>
      <xdr:rowOff>38100</xdr:rowOff>
    </xdr:from>
    <xdr:to>
      <xdr:col>8</xdr:col>
      <xdr:colOff>523875</xdr:colOff>
      <xdr:row>34</xdr:row>
      <xdr:rowOff>38100</xdr:rowOff>
    </xdr:to>
    <xdr:sp macro="" textlink="">
      <xdr:nvSpPr>
        <xdr:cNvPr id="85221" name="Line 229">
          <a:extLst>
            <a:ext uri="{FF2B5EF4-FFF2-40B4-BE49-F238E27FC236}">
              <a16:creationId xmlns:a16="http://schemas.microsoft.com/office/drawing/2014/main" id="{7469D661-4FD5-4810-93E5-3ECF531BBB64}"/>
            </a:ext>
          </a:extLst>
        </xdr:cNvPr>
        <xdr:cNvSpPr>
          <a:spLocks noChangeShapeType="1"/>
        </xdr:cNvSpPr>
      </xdr:nvSpPr>
      <xdr:spPr bwMode="auto">
        <a:xfrm>
          <a:off x="4524375" y="6515100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32</xdr:row>
      <xdr:rowOff>161925</xdr:rowOff>
    </xdr:from>
    <xdr:to>
      <xdr:col>8</xdr:col>
      <xdr:colOff>523875</xdr:colOff>
      <xdr:row>34</xdr:row>
      <xdr:rowOff>38100</xdr:rowOff>
    </xdr:to>
    <xdr:sp macro="" textlink="">
      <xdr:nvSpPr>
        <xdr:cNvPr id="85220" name="Line 228">
          <a:extLst>
            <a:ext uri="{FF2B5EF4-FFF2-40B4-BE49-F238E27FC236}">
              <a16:creationId xmlns:a16="http://schemas.microsoft.com/office/drawing/2014/main" id="{C09A8C02-670C-4E58-8274-2527EB3926F9}"/>
            </a:ext>
          </a:extLst>
        </xdr:cNvPr>
        <xdr:cNvSpPr>
          <a:spLocks noChangeShapeType="1"/>
        </xdr:cNvSpPr>
      </xdr:nvSpPr>
      <xdr:spPr bwMode="auto">
        <a:xfrm>
          <a:off x="5400675" y="6257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34</xdr:row>
      <xdr:rowOff>38100</xdr:rowOff>
    </xdr:from>
    <xdr:to>
      <xdr:col>10</xdr:col>
      <xdr:colOff>190500</xdr:colOff>
      <xdr:row>34</xdr:row>
      <xdr:rowOff>38100</xdr:rowOff>
    </xdr:to>
    <xdr:sp macro="" textlink="">
      <xdr:nvSpPr>
        <xdr:cNvPr id="85218" name="Line 226">
          <a:extLst>
            <a:ext uri="{FF2B5EF4-FFF2-40B4-BE49-F238E27FC236}">
              <a16:creationId xmlns:a16="http://schemas.microsoft.com/office/drawing/2014/main" id="{5B24AFC1-1541-486E-9C4B-114AAAFEE2FD}"/>
            </a:ext>
          </a:extLst>
        </xdr:cNvPr>
        <xdr:cNvSpPr>
          <a:spLocks noChangeShapeType="1"/>
        </xdr:cNvSpPr>
      </xdr:nvSpPr>
      <xdr:spPr bwMode="auto">
        <a:xfrm>
          <a:off x="5400675" y="6515100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32</xdr:row>
      <xdr:rowOff>161925</xdr:rowOff>
    </xdr:from>
    <xdr:to>
      <xdr:col>10</xdr:col>
      <xdr:colOff>190500</xdr:colOff>
      <xdr:row>34</xdr:row>
      <xdr:rowOff>38100</xdr:rowOff>
    </xdr:to>
    <xdr:sp macro="" textlink="">
      <xdr:nvSpPr>
        <xdr:cNvPr id="85217" name="Line 225">
          <a:extLst>
            <a:ext uri="{FF2B5EF4-FFF2-40B4-BE49-F238E27FC236}">
              <a16:creationId xmlns:a16="http://schemas.microsoft.com/office/drawing/2014/main" id="{4C89197A-C374-4ECB-AB38-D4055C2BEA96}"/>
            </a:ext>
          </a:extLst>
        </xdr:cNvPr>
        <xdr:cNvSpPr>
          <a:spLocks noChangeShapeType="1"/>
        </xdr:cNvSpPr>
      </xdr:nvSpPr>
      <xdr:spPr bwMode="auto">
        <a:xfrm>
          <a:off x="6286500" y="6257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34</xdr:row>
      <xdr:rowOff>38100</xdr:rowOff>
    </xdr:from>
    <xdr:to>
      <xdr:col>11</xdr:col>
      <xdr:colOff>476250</xdr:colOff>
      <xdr:row>34</xdr:row>
      <xdr:rowOff>38100</xdr:rowOff>
    </xdr:to>
    <xdr:sp macro="" textlink="">
      <xdr:nvSpPr>
        <xdr:cNvPr id="85215" name="Line 223">
          <a:extLst>
            <a:ext uri="{FF2B5EF4-FFF2-40B4-BE49-F238E27FC236}">
              <a16:creationId xmlns:a16="http://schemas.microsoft.com/office/drawing/2014/main" id="{AF3BC52F-69A2-42F2-8935-4B739E65B782}"/>
            </a:ext>
          </a:extLst>
        </xdr:cNvPr>
        <xdr:cNvSpPr>
          <a:spLocks noChangeShapeType="1"/>
        </xdr:cNvSpPr>
      </xdr:nvSpPr>
      <xdr:spPr bwMode="auto">
        <a:xfrm>
          <a:off x="6286500" y="6515100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32</xdr:row>
      <xdr:rowOff>161925</xdr:rowOff>
    </xdr:from>
    <xdr:to>
      <xdr:col>11</xdr:col>
      <xdr:colOff>466725</xdr:colOff>
      <xdr:row>34</xdr:row>
      <xdr:rowOff>38100</xdr:rowOff>
    </xdr:to>
    <xdr:sp macro="" textlink="">
      <xdr:nvSpPr>
        <xdr:cNvPr id="85214" name="Line 222">
          <a:extLst>
            <a:ext uri="{FF2B5EF4-FFF2-40B4-BE49-F238E27FC236}">
              <a16:creationId xmlns:a16="http://schemas.microsoft.com/office/drawing/2014/main" id="{8CCC6D7F-3B4D-4FDC-99CB-B2A26FFE449E}"/>
            </a:ext>
          </a:extLst>
        </xdr:cNvPr>
        <xdr:cNvSpPr>
          <a:spLocks noChangeShapeType="1"/>
        </xdr:cNvSpPr>
      </xdr:nvSpPr>
      <xdr:spPr bwMode="auto">
        <a:xfrm>
          <a:off x="7172325" y="6257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34</xdr:row>
      <xdr:rowOff>38100</xdr:rowOff>
    </xdr:from>
    <xdr:to>
      <xdr:col>11</xdr:col>
      <xdr:colOff>466725</xdr:colOff>
      <xdr:row>34</xdr:row>
      <xdr:rowOff>161925</xdr:rowOff>
    </xdr:to>
    <xdr:sp macro="" textlink="">
      <xdr:nvSpPr>
        <xdr:cNvPr id="85213" name="Rectangle 221">
          <a:extLst>
            <a:ext uri="{FF2B5EF4-FFF2-40B4-BE49-F238E27FC236}">
              <a16:creationId xmlns:a16="http://schemas.microsoft.com/office/drawing/2014/main" id="{9072AC1C-F903-403D-AA5B-5294C2235CDA}"/>
            </a:ext>
          </a:extLst>
        </xdr:cNvPr>
        <xdr:cNvSpPr>
          <a:spLocks noChangeArrowheads="1"/>
        </xdr:cNvSpPr>
      </xdr:nvSpPr>
      <xdr:spPr bwMode="auto">
        <a:xfrm>
          <a:off x="381000" y="6515100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34</xdr:row>
      <xdr:rowOff>38100</xdr:rowOff>
    </xdr:from>
    <xdr:to>
      <xdr:col>1</xdr:col>
      <xdr:colOff>180975</xdr:colOff>
      <xdr:row>34</xdr:row>
      <xdr:rowOff>161925</xdr:rowOff>
    </xdr:to>
    <xdr:sp macro="" textlink="">
      <xdr:nvSpPr>
        <xdr:cNvPr id="85212" name="Rectangle 220">
          <a:extLst>
            <a:ext uri="{FF2B5EF4-FFF2-40B4-BE49-F238E27FC236}">
              <a16:creationId xmlns:a16="http://schemas.microsoft.com/office/drawing/2014/main" id="{FB213174-BB79-4A7C-B44A-4FDFDD896CDD}"/>
            </a:ext>
          </a:extLst>
        </xdr:cNvPr>
        <xdr:cNvSpPr>
          <a:spLocks noChangeArrowheads="1"/>
        </xdr:cNvSpPr>
      </xdr:nvSpPr>
      <xdr:spPr bwMode="auto">
        <a:xfrm>
          <a:off x="381000" y="6515100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w tym</a:t>
          </a:r>
        </a:p>
      </xdr:txBody>
    </xdr:sp>
    <xdr:clientData/>
  </xdr:twoCellAnchor>
  <xdr:twoCellAnchor>
    <xdr:from>
      <xdr:col>0</xdr:col>
      <xdr:colOff>381000</xdr:colOff>
      <xdr:row>34</xdr:row>
      <xdr:rowOff>38100</xdr:rowOff>
    </xdr:from>
    <xdr:to>
      <xdr:col>0</xdr:col>
      <xdr:colOff>381000</xdr:colOff>
      <xdr:row>34</xdr:row>
      <xdr:rowOff>171450</xdr:rowOff>
    </xdr:to>
    <xdr:sp macro="" textlink="">
      <xdr:nvSpPr>
        <xdr:cNvPr id="85211" name="Line 219">
          <a:extLst>
            <a:ext uri="{FF2B5EF4-FFF2-40B4-BE49-F238E27FC236}">
              <a16:creationId xmlns:a16="http://schemas.microsoft.com/office/drawing/2014/main" id="{2FC9FE57-E725-491C-8D63-A5FD647D5B1F}"/>
            </a:ext>
          </a:extLst>
        </xdr:cNvPr>
        <xdr:cNvSpPr>
          <a:spLocks noChangeShapeType="1"/>
        </xdr:cNvSpPr>
      </xdr:nvSpPr>
      <xdr:spPr bwMode="auto">
        <a:xfrm>
          <a:off x="381000" y="651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34</xdr:row>
      <xdr:rowOff>161925</xdr:rowOff>
    </xdr:from>
    <xdr:to>
      <xdr:col>1</xdr:col>
      <xdr:colOff>180975</xdr:colOff>
      <xdr:row>34</xdr:row>
      <xdr:rowOff>161925</xdr:rowOff>
    </xdr:to>
    <xdr:sp macro="" textlink="">
      <xdr:nvSpPr>
        <xdr:cNvPr id="85210" name="Line 218">
          <a:extLst>
            <a:ext uri="{FF2B5EF4-FFF2-40B4-BE49-F238E27FC236}">
              <a16:creationId xmlns:a16="http://schemas.microsoft.com/office/drawing/2014/main" id="{6BA4E90A-F349-496B-8BE9-C902AA187FA1}"/>
            </a:ext>
          </a:extLst>
        </xdr:cNvPr>
        <xdr:cNvSpPr>
          <a:spLocks noChangeShapeType="1"/>
        </xdr:cNvSpPr>
      </xdr:nvSpPr>
      <xdr:spPr bwMode="auto">
        <a:xfrm>
          <a:off x="381000" y="663892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180975</xdr:colOff>
      <xdr:row>34</xdr:row>
      <xdr:rowOff>38100</xdr:rowOff>
    </xdr:from>
    <xdr:to>
      <xdr:col>1</xdr:col>
      <xdr:colOff>180975</xdr:colOff>
      <xdr:row>34</xdr:row>
      <xdr:rowOff>171450</xdr:rowOff>
    </xdr:to>
    <xdr:sp macro="" textlink="">
      <xdr:nvSpPr>
        <xdr:cNvPr id="85209" name="Line 217">
          <a:extLst>
            <a:ext uri="{FF2B5EF4-FFF2-40B4-BE49-F238E27FC236}">
              <a16:creationId xmlns:a16="http://schemas.microsoft.com/office/drawing/2014/main" id="{E5177544-6F5B-42EA-A0D2-2921BE84FC59}"/>
            </a:ext>
          </a:extLst>
        </xdr:cNvPr>
        <xdr:cNvSpPr>
          <a:spLocks noChangeShapeType="1"/>
        </xdr:cNvSpPr>
      </xdr:nvSpPr>
      <xdr:spPr bwMode="auto">
        <a:xfrm>
          <a:off x="790575" y="651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180975</xdr:colOff>
      <xdr:row>34</xdr:row>
      <xdr:rowOff>38100</xdr:rowOff>
    </xdr:from>
    <xdr:to>
      <xdr:col>4</xdr:col>
      <xdr:colOff>381000</xdr:colOff>
      <xdr:row>34</xdr:row>
      <xdr:rowOff>161925</xdr:rowOff>
    </xdr:to>
    <xdr:sp macro="" textlink="">
      <xdr:nvSpPr>
        <xdr:cNvPr id="85208" name="Rectangle 216">
          <a:extLst>
            <a:ext uri="{FF2B5EF4-FFF2-40B4-BE49-F238E27FC236}">
              <a16:creationId xmlns:a16="http://schemas.microsoft.com/office/drawing/2014/main" id="{53E03342-1DD0-4D8D-B5C4-13F74607BE02}"/>
            </a:ext>
          </a:extLst>
        </xdr:cNvPr>
        <xdr:cNvSpPr>
          <a:spLocks noChangeArrowheads="1"/>
        </xdr:cNvSpPr>
      </xdr:nvSpPr>
      <xdr:spPr bwMode="auto">
        <a:xfrm>
          <a:off x="790575" y="6515100"/>
          <a:ext cx="2028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w ramach spółdzielni socjalnej</a:t>
          </a:r>
        </a:p>
      </xdr:txBody>
    </xdr:sp>
    <xdr:clientData/>
  </xdr:twoCellAnchor>
  <xdr:twoCellAnchor>
    <xdr:from>
      <xdr:col>1</xdr:col>
      <xdr:colOff>180975</xdr:colOff>
      <xdr:row>34</xdr:row>
      <xdr:rowOff>38100</xdr:rowOff>
    </xdr:from>
    <xdr:to>
      <xdr:col>1</xdr:col>
      <xdr:colOff>180975</xdr:colOff>
      <xdr:row>34</xdr:row>
      <xdr:rowOff>171450</xdr:rowOff>
    </xdr:to>
    <xdr:sp macro="" textlink="">
      <xdr:nvSpPr>
        <xdr:cNvPr id="85207" name="Line 215">
          <a:extLst>
            <a:ext uri="{FF2B5EF4-FFF2-40B4-BE49-F238E27FC236}">
              <a16:creationId xmlns:a16="http://schemas.microsoft.com/office/drawing/2014/main" id="{772C579E-B513-4E7C-A4FA-85C8E0A84B8C}"/>
            </a:ext>
          </a:extLst>
        </xdr:cNvPr>
        <xdr:cNvSpPr>
          <a:spLocks noChangeShapeType="1"/>
        </xdr:cNvSpPr>
      </xdr:nvSpPr>
      <xdr:spPr bwMode="auto">
        <a:xfrm>
          <a:off x="790575" y="651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171450</xdr:colOff>
      <xdr:row>34</xdr:row>
      <xdr:rowOff>161925</xdr:rowOff>
    </xdr:from>
    <xdr:to>
      <xdr:col>4</xdr:col>
      <xdr:colOff>381000</xdr:colOff>
      <xdr:row>34</xdr:row>
      <xdr:rowOff>161925</xdr:rowOff>
    </xdr:to>
    <xdr:sp macro="" textlink="">
      <xdr:nvSpPr>
        <xdr:cNvPr id="85206" name="Line 214">
          <a:extLst>
            <a:ext uri="{FF2B5EF4-FFF2-40B4-BE49-F238E27FC236}">
              <a16:creationId xmlns:a16="http://schemas.microsoft.com/office/drawing/2014/main" id="{8F1A226A-1E33-44EB-81FC-7DFA37D06772}"/>
            </a:ext>
          </a:extLst>
        </xdr:cNvPr>
        <xdr:cNvSpPr>
          <a:spLocks noChangeShapeType="1"/>
        </xdr:cNvSpPr>
      </xdr:nvSpPr>
      <xdr:spPr bwMode="auto">
        <a:xfrm>
          <a:off x="781050" y="6638925"/>
          <a:ext cx="2038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34</xdr:row>
      <xdr:rowOff>38100</xdr:rowOff>
    </xdr:from>
    <xdr:to>
      <xdr:col>4</xdr:col>
      <xdr:colOff>381000</xdr:colOff>
      <xdr:row>34</xdr:row>
      <xdr:rowOff>171450</xdr:rowOff>
    </xdr:to>
    <xdr:sp macro="" textlink="">
      <xdr:nvSpPr>
        <xdr:cNvPr id="85205" name="Line 213">
          <a:extLst>
            <a:ext uri="{FF2B5EF4-FFF2-40B4-BE49-F238E27FC236}">
              <a16:creationId xmlns:a16="http://schemas.microsoft.com/office/drawing/2014/main" id="{642B65C0-7A3B-429D-9FA7-41B97755EF06}"/>
            </a:ext>
          </a:extLst>
        </xdr:cNvPr>
        <xdr:cNvSpPr>
          <a:spLocks noChangeShapeType="1"/>
        </xdr:cNvSpPr>
      </xdr:nvSpPr>
      <xdr:spPr bwMode="auto">
        <a:xfrm>
          <a:off x="2819400" y="651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34</xdr:row>
      <xdr:rowOff>38100</xdr:rowOff>
    </xdr:from>
    <xdr:to>
      <xdr:col>5</xdr:col>
      <xdr:colOff>180975</xdr:colOff>
      <xdr:row>34</xdr:row>
      <xdr:rowOff>161925</xdr:rowOff>
    </xdr:to>
    <xdr:sp macro="" textlink="">
      <xdr:nvSpPr>
        <xdr:cNvPr id="85204" name="Rectangle 212">
          <a:extLst>
            <a:ext uri="{FF2B5EF4-FFF2-40B4-BE49-F238E27FC236}">
              <a16:creationId xmlns:a16="http://schemas.microsoft.com/office/drawing/2014/main" id="{AD42FE3F-217E-42A9-8D03-07B27F4E7A63}"/>
            </a:ext>
          </a:extLst>
        </xdr:cNvPr>
        <xdr:cNvSpPr>
          <a:spLocks noChangeArrowheads="1"/>
        </xdr:cNvSpPr>
      </xdr:nvSpPr>
      <xdr:spPr bwMode="auto">
        <a:xfrm>
          <a:off x="2819400" y="6515100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4</xdr:col>
      <xdr:colOff>381000</xdr:colOff>
      <xdr:row>34</xdr:row>
      <xdr:rowOff>161925</xdr:rowOff>
    </xdr:from>
    <xdr:to>
      <xdr:col>5</xdr:col>
      <xdr:colOff>180975</xdr:colOff>
      <xdr:row>34</xdr:row>
      <xdr:rowOff>161925</xdr:rowOff>
    </xdr:to>
    <xdr:sp macro="" textlink="">
      <xdr:nvSpPr>
        <xdr:cNvPr id="85203" name="Line 211">
          <a:extLst>
            <a:ext uri="{FF2B5EF4-FFF2-40B4-BE49-F238E27FC236}">
              <a16:creationId xmlns:a16="http://schemas.microsoft.com/office/drawing/2014/main" id="{FBC1325B-037A-4A1F-ABFB-CD0836CE3FBA}"/>
            </a:ext>
          </a:extLst>
        </xdr:cNvPr>
        <xdr:cNvSpPr>
          <a:spLocks noChangeShapeType="1"/>
        </xdr:cNvSpPr>
      </xdr:nvSpPr>
      <xdr:spPr bwMode="auto">
        <a:xfrm>
          <a:off x="2819400" y="663892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34</xdr:row>
      <xdr:rowOff>38100</xdr:rowOff>
    </xdr:from>
    <xdr:to>
      <xdr:col>5</xdr:col>
      <xdr:colOff>180975</xdr:colOff>
      <xdr:row>34</xdr:row>
      <xdr:rowOff>171450</xdr:rowOff>
    </xdr:to>
    <xdr:sp macro="" textlink="">
      <xdr:nvSpPr>
        <xdr:cNvPr id="85202" name="Line 210">
          <a:extLst>
            <a:ext uri="{FF2B5EF4-FFF2-40B4-BE49-F238E27FC236}">
              <a16:creationId xmlns:a16="http://schemas.microsoft.com/office/drawing/2014/main" id="{FDB5B797-9983-4DE7-99B5-EA9656012AE4}"/>
            </a:ext>
          </a:extLst>
        </xdr:cNvPr>
        <xdr:cNvSpPr>
          <a:spLocks noChangeShapeType="1"/>
        </xdr:cNvSpPr>
      </xdr:nvSpPr>
      <xdr:spPr bwMode="auto">
        <a:xfrm>
          <a:off x="3228975" y="651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34</xdr:row>
      <xdr:rowOff>161925</xdr:rowOff>
    </xdr:from>
    <xdr:to>
      <xdr:col>7</xdr:col>
      <xdr:colOff>257175</xdr:colOff>
      <xdr:row>34</xdr:row>
      <xdr:rowOff>161925</xdr:rowOff>
    </xdr:to>
    <xdr:sp macro="" textlink="">
      <xdr:nvSpPr>
        <xdr:cNvPr id="85200" name="Line 208">
          <a:extLst>
            <a:ext uri="{FF2B5EF4-FFF2-40B4-BE49-F238E27FC236}">
              <a16:creationId xmlns:a16="http://schemas.microsoft.com/office/drawing/2014/main" id="{CF148745-E5CE-40EF-BE46-7D588836C537}"/>
            </a:ext>
          </a:extLst>
        </xdr:cNvPr>
        <xdr:cNvSpPr>
          <a:spLocks noChangeShapeType="1"/>
        </xdr:cNvSpPr>
      </xdr:nvSpPr>
      <xdr:spPr bwMode="auto">
        <a:xfrm>
          <a:off x="3228975" y="663892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34</xdr:row>
      <xdr:rowOff>38100</xdr:rowOff>
    </xdr:from>
    <xdr:to>
      <xdr:col>7</xdr:col>
      <xdr:colOff>257175</xdr:colOff>
      <xdr:row>34</xdr:row>
      <xdr:rowOff>171450</xdr:rowOff>
    </xdr:to>
    <xdr:sp macro="" textlink="">
      <xdr:nvSpPr>
        <xdr:cNvPr id="85199" name="Line 207">
          <a:extLst>
            <a:ext uri="{FF2B5EF4-FFF2-40B4-BE49-F238E27FC236}">
              <a16:creationId xmlns:a16="http://schemas.microsoft.com/office/drawing/2014/main" id="{177AB7CF-6206-4E72-AF5E-DE2EF6952211}"/>
            </a:ext>
          </a:extLst>
        </xdr:cNvPr>
        <xdr:cNvSpPr>
          <a:spLocks noChangeShapeType="1"/>
        </xdr:cNvSpPr>
      </xdr:nvSpPr>
      <xdr:spPr bwMode="auto">
        <a:xfrm>
          <a:off x="4524375" y="651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34</xdr:row>
      <xdr:rowOff>161925</xdr:rowOff>
    </xdr:from>
    <xdr:to>
      <xdr:col>8</xdr:col>
      <xdr:colOff>523875</xdr:colOff>
      <xdr:row>34</xdr:row>
      <xdr:rowOff>161925</xdr:rowOff>
    </xdr:to>
    <xdr:sp macro="" textlink="">
      <xdr:nvSpPr>
        <xdr:cNvPr id="85197" name="Line 205">
          <a:extLst>
            <a:ext uri="{FF2B5EF4-FFF2-40B4-BE49-F238E27FC236}">
              <a16:creationId xmlns:a16="http://schemas.microsoft.com/office/drawing/2014/main" id="{18104B40-D911-4BBF-94C0-A4E87A49FEDF}"/>
            </a:ext>
          </a:extLst>
        </xdr:cNvPr>
        <xdr:cNvSpPr>
          <a:spLocks noChangeShapeType="1"/>
        </xdr:cNvSpPr>
      </xdr:nvSpPr>
      <xdr:spPr bwMode="auto">
        <a:xfrm>
          <a:off x="4524375" y="663892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34</xdr:row>
      <xdr:rowOff>38100</xdr:rowOff>
    </xdr:from>
    <xdr:to>
      <xdr:col>8</xdr:col>
      <xdr:colOff>523875</xdr:colOff>
      <xdr:row>34</xdr:row>
      <xdr:rowOff>171450</xdr:rowOff>
    </xdr:to>
    <xdr:sp macro="" textlink="">
      <xdr:nvSpPr>
        <xdr:cNvPr id="85196" name="Line 204">
          <a:extLst>
            <a:ext uri="{FF2B5EF4-FFF2-40B4-BE49-F238E27FC236}">
              <a16:creationId xmlns:a16="http://schemas.microsoft.com/office/drawing/2014/main" id="{0A4829F3-5BEE-4AAA-A9AB-7B8FCCB59063}"/>
            </a:ext>
          </a:extLst>
        </xdr:cNvPr>
        <xdr:cNvSpPr>
          <a:spLocks noChangeShapeType="1"/>
        </xdr:cNvSpPr>
      </xdr:nvSpPr>
      <xdr:spPr bwMode="auto">
        <a:xfrm>
          <a:off x="5400675" y="651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34</xdr:row>
      <xdr:rowOff>161925</xdr:rowOff>
    </xdr:from>
    <xdr:to>
      <xdr:col>10</xdr:col>
      <xdr:colOff>190500</xdr:colOff>
      <xdr:row>34</xdr:row>
      <xdr:rowOff>161925</xdr:rowOff>
    </xdr:to>
    <xdr:sp macro="" textlink="">
      <xdr:nvSpPr>
        <xdr:cNvPr id="85194" name="Line 202">
          <a:extLst>
            <a:ext uri="{FF2B5EF4-FFF2-40B4-BE49-F238E27FC236}">
              <a16:creationId xmlns:a16="http://schemas.microsoft.com/office/drawing/2014/main" id="{177EDD26-152C-4698-9250-EB93FE37A9F0}"/>
            </a:ext>
          </a:extLst>
        </xdr:cNvPr>
        <xdr:cNvSpPr>
          <a:spLocks noChangeShapeType="1"/>
        </xdr:cNvSpPr>
      </xdr:nvSpPr>
      <xdr:spPr bwMode="auto">
        <a:xfrm>
          <a:off x="5400675" y="663892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34</xdr:row>
      <xdr:rowOff>38100</xdr:rowOff>
    </xdr:from>
    <xdr:to>
      <xdr:col>10</xdr:col>
      <xdr:colOff>190500</xdr:colOff>
      <xdr:row>34</xdr:row>
      <xdr:rowOff>171450</xdr:rowOff>
    </xdr:to>
    <xdr:sp macro="" textlink="">
      <xdr:nvSpPr>
        <xdr:cNvPr id="85193" name="Line 201">
          <a:extLst>
            <a:ext uri="{FF2B5EF4-FFF2-40B4-BE49-F238E27FC236}">
              <a16:creationId xmlns:a16="http://schemas.microsoft.com/office/drawing/2014/main" id="{D2B4F5D5-4AA9-4260-957E-6819D6A3B2EC}"/>
            </a:ext>
          </a:extLst>
        </xdr:cNvPr>
        <xdr:cNvSpPr>
          <a:spLocks noChangeShapeType="1"/>
        </xdr:cNvSpPr>
      </xdr:nvSpPr>
      <xdr:spPr bwMode="auto">
        <a:xfrm>
          <a:off x="6286500" y="651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34</xdr:row>
      <xdr:rowOff>161925</xdr:rowOff>
    </xdr:from>
    <xdr:to>
      <xdr:col>11</xdr:col>
      <xdr:colOff>476250</xdr:colOff>
      <xdr:row>34</xdr:row>
      <xdr:rowOff>161925</xdr:rowOff>
    </xdr:to>
    <xdr:sp macro="" textlink="">
      <xdr:nvSpPr>
        <xdr:cNvPr id="85191" name="Line 199">
          <a:extLst>
            <a:ext uri="{FF2B5EF4-FFF2-40B4-BE49-F238E27FC236}">
              <a16:creationId xmlns:a16="http://schemas.microsoft.com/office/drawing/2014/main" id="{883A91EE-9789-4287-9032-081F86FB9AE5}"/>
            </a:ext>
          </a:extLst>
        </xdr:cNvPr>
        <xdr:cNvSpPr>
          <a:spLocks noChangeShapeType="1"/>
        </xdr:cNvSpPr>
      </xdr:nvSpPr>
      <xdr:spPr bwMode="auto">
        <a:xfrm>
          <a:off x="6286500" y="663892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34</xdr:row>
      <xdr:rowOff>38100</xdr:rowOff>
    </xdr:from>
    <xdr:to>
      <xdr:col>11</xdr:col>
      <xdr:colOff>466725</xdr:colOff>
      <xdr:row>34</xdr:row>
      <xdr:rowOff>171450</xdr:rowOff>
    </xdr:to>
    <xdr:sp macro="" textlink="">
      <xdr:nvSpPr>
        <xdr:cNvPr id="85190" name="Line 198">
          <a:extLst>
            <a:ext uri="{FF2B5EF4-FFF2-40B4-BE49-F238E27FC236}">
              <a16:creationId xmlns:a16="http://schemas.microsoft.com/office/drawing/2014/main" id="{BBEBB481-8C37-486C-A0E9-F8A97C54E57C}"/>
            </a:ext>
          </a:extLst>
        </xdr:cNvPr>
        <xdr:cNvSpPr>
          <a:spLocks noChangeShapeType="1"/>
        </xdr:cNvSpPr>
      </xdr:nvSpPr>
      <xdr:spPr bwMode="auto">
        <a:xfrm>
          <a:off x="7172325" y="651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34</xdr:row>
      <xdr:rowOff>161925</xdr:rowOff>
    </xdr:from>
    <xdr:to>
      <xdr:col>11</xdr:col>
      <xdr:colOff>466725</xdr:colOff>
      <xdr:row>35</xdr:row>
      <xdr:rowOff>95250</xdr:rowOff>
    </xdr:to>
    <xdr:sp macro="" textlink="">
      <xdr:nvSpPr>
        <xdr:cNvPr id="85189" name="Rectangle 197">
          <a:extLst>
            <a:ext uri="{FF2B5EF4-FFF2-40B4-BE49-F238E27FC236}">
              <a16:creationId xmlns:a16="http://schemas.microsoft.com/office/drawing/2014/main" id="{F6DE60DB-9D16-4C0F-832D-AE9A0DE0AABA}"/>
            </a:ext>
          </a:extLst>
        </xdr:cNvPr>
        <xdr:cNvSpPr>
          <a:spLocks noChangeArrowheads="1"/>
        </xdr:cNvSpPr>
      </xdr:nvSpPr>
      <xdr:spPr bwMode="auto">
        <a:xfrm>
          <a:off x="381000" y="6638925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34</xdr:row>
      <xdr:rowOff>161925</xdr:rowOff>
    </xdr:from>
    <xdr:to>
      <xdr:col>4</xdr:col>
      <xdr:colOff>381000</xdr:colOff>
      <xdr:row>35</xdr:row>
      <xdr:rowOff>95250</xdr:rowOff>
    </xdr:to>
    <xdr:sp macro="" textlink="">
      <xdr:nvSpPr>
        <xdr:cNvPr id="85188" name="Rectangle 196">
          <a:extLst>
            <a:ext uri="{FF2B5EF4-FFF2-40B4-BE49-F238E27FC236}">
              <a16:creationId xmlns:a16="http://schemas.microsoft.com/office/drawing/2014/main" id="{AF5789BE-23E7-4B80-B1ED-DDA18498A5F0}"/>
            </a:ext>
          </a:extLst>
        </xdr:cNvPr>
        <xdr:cNvSpPr>
          <a:spLocks noChangeArrowheads="1"/>
        </xdr:cNvSpPr>
      </xdr:nvSpPr>
      <xdr:spPr bwMode="auto">
        <a:xfrm>
          <a:off x="381000" y="6638925"/>
          <a:ext cx="2438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Programy specjalne</a:t>
          </a:r>
        </a:p>
      </xdr:txBody>
    </xdr:sp>
    <xdr:clientData/>
  </xdr:twoCellAnchor>
  <xdr:twoCellAnchor>
    <xdr:from>
      <xdr:col>0</xdr:col>
      <xdr:colOff>381000</xdr:colOff>
      <xdr:row>34</xdr:row>
      <xdr:rowOff>161925</xdr:rowOff>
    </xdr:from>
    <xdr:to>
      <xdr:col>0</xdr:col>
      <xdr:colOff>381000</xdr:colOff>
      <xdr:row>35</xdr:row>
      <xdr:rowOff>104775</xdr:rowOff>
    </xdr:to>
    <xdr:sp macro="" textlink="">
      <xdr:nvSpPr>
        <xdr:cNvPr id="85187" name="Line 195">
          <a:extLst>
            <a:ext uri="{FF2B5EF4-FFF2-40B4-BE49-F238E27FC236}">
              <a16:creationId xmlns:a16="http://schemas.microsoft.com/office/drawing/2014/main" id="{A1692C06-3367-45D9-B342-739A09058F04}"/>
            </a:ext>
          </a:extLst>
        </xdr:cNvPr>
        <xdr:cNvSpPr>
          <a:spLocks noChangeShapeType="1"/>
        </xdr:cNvSpPr>
      </xdr:nvSpPr>
      <xdr:spPr bwMode="auto">
        <a:xfrm>
          <a:off x="381000" y="6638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35</xdr:row>
      <xdr:rowOff>104775</xdr:rowOff>
    </xdr:from>
    <xdr:to>
      <xdr:col>4</xdr:col>
      <xdr:colOff>381000</xdr:colOff>
      <xdr:row>35</xdr:row>
      <xdr:rowOff>104775</xdr:rowOff>
    </xdr:to>
    <xdr:sp macro="" textlink="">
      <xdr:nvSpPr>
        <xdr:cNvPr id="85186" name="Line 194">
          <a:extLst>
            <a:ext uri="{FF2B5EF4-FFF2-40B4-BE49-F238E27FC236}">
              <a16:creationId xmlns:a16="http://schemas.microsoft.com/office/drawing/2014/main" id="{F46620AF-5C4E-4072-B1F3-9D685233D5A7}"/>
            </a:ext>
          </a:extLst>
        </xdr:cNvPr>
        <xdr:cNvSpPr>
          <a:spLocks noChangeShapeType="1"/>
        </xdr:cNvSpPr>
      </xdr:nvSpPr>
      <xdr:spPr bwMode="auto">
        <a:xfrm>
          <a:off x="381000" y="677227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34</xdr:row>
      <xdr:rowOff>161925</xdr:rowOff>
    </xdr:from>
    <xdr:to>
      <xdr:col>4</xdr:col>
      <xdr:colOff>381000</xdr:colOff>
      <xdr:row>35</xdr:row>
      <xdr:rowOff>104775</xdr:rowOff>
    </xdr:to>
    <xdr:sp macro="" textlink="">
      <xdr:nvSpPr>
        <xdr:cNvPr id="85185" name="Line 193">
          <a:extLst>
            <a:ext uri="{FF2B5EF4-FFF2-40B4-BE49-F238E27FC236}">
              <a16:creationId xmlns:a16="http://schemas.microsoft.com/office/drawing/2014/main" id="{B27100EF-B23C-4E62-B9FE-F3B0E936C101}"/>
            </a:ext>
          </a:extLst>
        </xdr:cNvPr>
        <xdr:cNvSpPr>
          <a:spLocks noChangeShapeType="1"/>
        </xdr:cNvSpPr>
      </xdr:nvSpPr>
      <xdr:spPr bwMode="auto">
        <a:xfrm>
          <a:off x="2819400" y="6638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34</xdr:row>
      <xdr:rowOff>161925</xdr:rowOff>
    </xdr:from>
    <xdr:to>
      <xdr:col>5</xdr:col>
      <xdr:colOff>180975</xdr:colOff>
      <xdr:row>35</xdr:row>
      <xdr:rowOff>95250</xdr:rowOff>
    </xdr:to>
    <xdr:sp macro="" textlink="">
      <xdr:nvSpPr>
        <xdr:cNvPr id="85184" name="Rectangle 192">
          <a:extLst>
            <a:ext uri="{FF2B5EF4-FFF2-40B4-BE49-F238E27FC236}">
              <a16:creationId xmlns:a16="http://schemas.microsoft.com/office/drawing/2014/main" id="{0345FCC0-7F8E-4D15-A1A3-8A4EF73BE969}"/>
            </a:ext>
          </a:extLst>
        </xdr:cNvPr>
        <xdr:cNvSpPr>
          <a:spLocks noChangeArrowheads="1"/>
        </xdr:cNvSpPr>
      </xdr:nvSpPr>
      <xdr:spPr bwMode="auto">
        <a:xfrm>
          <a:off x="2819400" y="6638925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4</xdr:col>
      <xdr:colOff>381000</xdr:colOff>
      <xdr:row>35</xdr:row>
      <xdr:rowOff>104775</xdr:rowOff>
    </xdr:from>
    <xdr:to>
      <xdr:col>5</xdr:col>
      <xdr:colOff>180975</xdr:colOff>
      <xdr:row>35</xdr:row>
      <xdr:rowOff>104775</xdr:rowOff>
    </xdr:to>
    <xdr:sp macro="" textlink="">
      <xdr:nvSpPr>
        <xdr:cNvPr id="85183" name="Line 191">
          <a:extLst>
            <a:ext uri="{FF2B5EF4-FFF2-40B4-BE49-F238E27FC236}">
              <a16:creationId xmlns:a16="http://schemas.microsoft.com/office/drawing/2014/main" id="{00262DCE-151D-4714-BF01-06F805C1101B}"/>
            </a:ext>
          </a:extLst>
        </xdr:cNvPr>
        <xdr:cNvSpPr>
          <a:spLocks noChangeShapeType="1"/>
        </xdr:cNvSpPr>
      </xdr:nvSpPr>
      <xdr:spPr bwMode="auto">
        <a:xfrm>
          <a:off x="2819400" y="677227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34</xdr:row>
      <xdr:rowOff>161925</xdr:rowOff>
    </xdr:from>
    <xdr:to>
      <xdr:col>5</xdr:col>
      <xdr:colOff>180975</xdr:colOff>
      <xdr:row>35</xdr:row>
      <xdr:rowOff>104775</xdr:rowOff>
    </xdr:to>
    <xdr:sp macro="" textlink="">
      <xdr:nvSpPr>
        <xdr:cNvPr id="85182" name="Line 190">
          <a:extLst>
            <a:ext uri="{FF2B5EF4-FFF2-40B4-BE49-F238E27FC236}">
              <a16:creationId xmlns:a16="http://schemas.microsoft.com/office/drawing/2014/main" id="{68AE2A6B-B0DA-4C31-B745-1FF2534F9BDD}"/>
            </a:ext>
          </a:extLst>
        </xdr:cNvPr>
        <xdr:cNvSpPr>
          <a:spLocks noChangeShapeType="1"/>
        </xdr:cNvSpPr>
      </xdr:nvSpPr>
      <xdr:spPr bwMode="auto">
        <a:xfrm>
          <a:off x="3228975" y="6638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35</xdr:row>
      <xdr:rowOff>104775</xdr:rowOff>
    </xdr:from>
    <xdr:to>
      <xdr:col>7</xdr:col>
      <xdr:colOff>257175</xdr:colOff>
      <xdr:row>35</xdr:row>
      <xdr:rowOff>104775</xdr:rowOff>
    </xdr:to>
    <xdr:sp macro="" textlink="">
      <xdr:nvSpPr>
        <xdr:cNvPr id="85180" name="Line 188">
          <a:extLst>
            <a:ext uri="{FF2B5EF4-FFF2-40B4-BE49-F238E27FC236}">
              <a16:creationId xmlns:a16="http://schemas.microsoft.com/office/drawing/2014/main" id="{7EEA98B1-7E74-4403-8432-15F0D7AB1D7C}"/>
            </a:ext>
          </a:extLst>
        </xdr:cNvPr>
        <xdr:cNvSpPr>
          <a:spLocks noChangeShapeType="1"/>
        </xdr:cNvSpPr>
      </xdr:nvSpPr>
      <xdr:spPr bwMode="auto">
        <a:xfrm>
          <a:off x="3228975" y="677227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34</xdr:row>
      <xdr:rowOff>161925</xdr:rowOff>
    </xdr:from>
    <xdr:to>
      <xdr:col>7</xdr:col>
      <xdr:colOff>257175</xdr:colOff>
      <xdr:row>35</xdr:row>
      <xdr:rowOff>104775</xdr:rowOff>
    </xdr:to>
    <xdr:sp macro="" textlink="">
      <xdr:nvSpPr>
        <xdr:cNvPr id="85179" name="Line 187">
          <a:extLst>
            <a:ext uri="{FF2B5EF4-FFF2-40B4-BE49-F238E27FC236}">
              <a16:creationId xmlns:a16="http://schemas.microsoft.com/office/drawing/2014/main" id="{DCF89C1D-F629-4427-8C74-E32CCFF24738}"/>
            </a:ext>
          </a:extLst>
        </xdr:cNvPr>
        <xdr:cNvSpPr>
          <a:spLocks noChangeShapeType="1"/>
        </xdr:cNvSpPr>
      </xdr:nvSpPr>
      <xdr:spPr bwMode="auto">
        <a:xfrm>
          <a:off x="4524375" y="6638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35</xdr:row>
      <xdr:rowOff>104775</xdr:rowOff>
    </xdr:from>
    <xdr:to>
      <xdr:col>8</xdr:col>
      <xdr:colOff>523875</xdr:colOff>
      <xdr:row>35</xdr:row>
      <xdr:rowOff>104775</xdr:rowOff>
    </xdr:to>
    <xdr:sp macro="" textlink="">
      <xdr:nvSpPr>
        <xdr:cNvPr id="85177" name="Line 185">
          <a:extLst>
            <a:ext uri="{FF2B5EF4-FFF2-40B4-BE49-F238E27FC236}">
              <a16:creationId xmlns:a16="http://schemas.microsoft.com/office/drawing/2014/main" id="{B957F36C-F5DE-4C1A-8947-F82CF291FD6F}"/>
            </a:ext>
          </a:extLst>
        </xdr:cNvPr>
        <xdr:cNvSpPr>
          <a:spLocks noChangeShapeType="1"/>
        </xdr:cNvSpPr>
      </xdr:nvSpPr>
      <xdr:spPr bwMode="auto">
        <a:xfrm>
          <a:off x="4524375" y="677227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34</xdr:row>
      <xdr:rowOff>161925</xdr:rowOff>
    </xdr:from>
    <xdr:to>
      <xdr:col>8</xdr:col>
      <xdr:colOff>523875</xdr:colOff>
      <xdr:row>35</xdr:row>
      <xdr:rowOff>104775</xdr:rowOff>
    </xdr:to>
    <xdr:sp macro="" textlink="">
      <xdr:nvSpPr>
        <xdr:cNvPr id="85176" name="Line 184">
          <a:extLst>
            <a:ext uri="{FF2B5EF4-FFF2-40B4-BE49-F238E27FC236}">
              <a16:creationId xmlns:a16="http://schemas.microsoft.com/office/drawing/2014/main" id="{42B5AD9C-E620-4F59-8026-811D7B7A3301}"/>
            </a:ext>
          </a:extLst>
        </xdr:cNvPr>
        <xdr:cNvSpPr>
          <a:spLocks noChangeShapeType="1"/>
        </xdr:cNvSpPr>
      </xdr:nvSpPr>
      <xdr:spPr bwMode="auto">
        <a:xfrm>
          <a:off x="5400675" y="6638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35</xdr:row>
      <xdr:rowOff>104775</xdr:rowOff>
    </xdr:from>
    <xdr:to>
      <xdr:col>10</xdr:col>
      <xdr:colOff>190500</xdr:colOff>
      <xdr:row>35</xdr:row>
      <xdr:rowOff>104775</xdr:rowOff>
    </xdr:to>
    <xdr:sp macro="" textlink="">
      <xdr:nvSpPr>
        <xdr:cNvPr id="85174" name="Line 182">
          <a:extLst>
            <a:ext uri="{FF2B5EF4-FFF2-40B4-BE49-F238E27FC236}">
              <a16:creationId xmlns:a16="http://schemas.microsoft.com/office/drawing/2014/main" id="{67BE116C-D021-4BB6-88F6-103AEFF29816}"/>
            </a:ext>
          </a:extLst>
        </xdr:cNvPr>
        <xdr:cNvSpPr>
          <a:spLocks noChangeShapeType="1"/>
        </xdr:cNvSpPr>
      </xdr:nvSpPr>
      <xdr:spPr bwMode="auto">
        <a:xfrm>
          <a:off x="5400675" y="677227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34</xdr:row>
      <xdr:rowOff>161925</xdr:rowOff>
    </xdr:from>
    <xdr:to>
      <xdr:col>10</xdr:col>
      <xdr:colOff>190500</xdr:colOff>
      <xdr:row>35</xdr:row>
      <xdr:rowOff>104775</xdr:rowOff>
    </xdr:to>
    <xdr:sp macro="" textlink="">
      <xdr:nvSpPr>
        <xdr:cNvPr id="85173" name="Line 181">
          <a:extLst>
            <a:ext uri="{FF2B5EF4-FFF2-40B4-BE49-F238E27FC236}">
              <a16:creationId xmlns:a16="http://schemas.microsoft.com/office/drawing/2014/main" id="{D0D99123-3313-4F3C-BF7E-7EA3FDFD7AC3}"/>
            </a:ext>
          </a:extLst>
        </xdr:cNvPr>
        <xdr:cNvSpPr>
          <a:spLocks noChangeShapeType="1"/>
        </xdr:cNvSpPr>
      </xdr:nvSpPr>
      <xdr:spPr bwMode="auto">
        <a:xfrm>
          <a:off x="6286500" y="6638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35</xdr:row>
      <xdr:rowOff>104775</xdr:rowOff>
    </xdr:from>
    <xdr:to>
      <xdr:col>11</xdr:col>
      <xdr:colOff>476250</xdr:colOff>
      <xdr:row>35</xdr:row>
      <xdr:rowOff>104775</xdr:rowOff>
    </xdr:to>
    <xdr:sp macro="" textlink="">
      <xdr:nvSpPr>
        <xdr:cNvPr id="85171" name="Line 179">
          <a:extLst>
            <a:ext uri="{FF2B5EF4-FFF2-40B4-BE49-F238E27FC236}">
              <a16:creationId xmlns:a16="http://schemas.microsoft.com/office/drawing/2014/main" id="{F9A9A770-C730-46F7-9DA6-2E5305EAB847}"/>
            </a:ext>
          </a:extLst>
        </xdr:cNvPr>
        <xdr:cNvSpPr>
          <a:spLocks noChangeShapeType="1"/>
        </xdr:cNvSpPr>
      </xdr:nvSpPr>
      <xdr:spPr bwMode="auto">
        <a:xfrm>
          <a:off x="6286500" y="677227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34</xdr:row>
      <xdr:rowOff>161925</xdr:rowOff>
    </xdr:from>
    <xdr:to>
      <xdr:col>11</xdr:col>
      <xdr:colOff>466725</xdr:colOff>
      <xdr:row>35</xdr:row>
      <xdr:rowOff>104775</xdr:rowOff>
    </xdr:to>
    <xdr:sp macro="" textlink="">
      <xdr:nvSpPr>
        <xdr:cNvPr id="85170" name="Line 178">
          <a:extLst>
            <a:ext uri="{FF2B5EF4-FFF2-40B4-BE49-F238E27FC236}">
              <a16:creationId xmlns:a16="http://schemas.microsoft.com/office/drawing/2014/main" id="{28B9A1DF-B733-4AAF-A5C6-DBCE0EBCF99B}"/>
            </a:ext>
          </a:extLst>
        </xdr:cNvPr>
        <xdr:cNvSpPr>
          <a:spLocks noChangeShapeType="1"/>
        </xdr:cNvSpPr>
      </xdr:nvSpPr>
      <xdr:spPr bwMode="auto">
        <a:xfrm>
          <a:off x="7172325" y="6638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35</xdr:row>
      <xdr:rowOff>104775</xdr:rowOff>
    </xdr:from>
    <xdr:to>
      <xdr:col>11</xdr:col>
      <xdr:colOff>466725</xdr:colOff>
      <xdr:row>36</xdr:row>
      <xdr:rowOff>171450</xdr:rowOff>
    </xdr:to>
    <xdr:sp macro="" textlink="">
      <xdr:nvSpPr>
        <xdr:cNvPr id="85169" name="Rectangle 177">
          <a:extLst>
            <a:ext uri="{FF2B5EF4-FFF2-40B4-BE49-F238E27FC236}">
              <a16:creationId xmlns:a16="http://schemas.microsoft.com/office/drawing/2014/main" id="{088F395A-8BB1-4788-898B-0C32238A17C3}"/>
            </a:ext>
          </a:extLst>
        </xdr:cNvPr>
        <xdr:cNvSpPr>
          <a:spLocks noChangeArrowheads="1"/>
        </xdr:cNvSpPr>
      </xdr:nvSpPr>
      <xdr:spPr bwMode="auto">
        <a:xfrm>
          <a:off x="381000" y="6772275"/>
          <a:ext cx="6791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35</xdr:row>
      <xdr:rowOff>104775</xdr:rowOff>
    </xdr:from>
    <xdr:to>
      <xdr:col>4</xdr:col>
      <xdr:colOff>381000</xdr:colOff>
      <xdr:row>36</xdr:row>
      <xdr:rowOff>171450</xdr:rowOff>
    </xdr:to>
    <xdr:sp macro="" textlink="">
      <xdr:nvSpPr>
        <xdr:cNvPr id="85168" name="Rectangle 176">
          <a:extLst>
            <a:ext uri="{FF2B5EF4-FFF2-40B4-BE49-F238E27FC236}">
              <a16:creationId xmlns:a16="http://schemas.microsoft.com/office/drawing/2014/main" id="{C7592D5D-9481-4FF3-8307-54517C75B582}"/>
            </a:ext>
          </a:extLst>
        </xdr:cNvPr>
        <xdr:cNvSpPr>
          <a:spLocks noChangeArrowheads="1"/>
        </xdr:cNvSpPr>
      </xdr:nvSpPr>
      <xdr:spPr bwMode="auto">
        <a:xfrm>
          <a:off x="381000" y="6772275"/>
          <a:ext cx="2438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Opłaty pobierane za postępowania nostryfikacyjne</a:t>
          </a:r>
        </a:p>
      </xdr:txBody>
    </xdr:sp>
    <xdr:clientData/>
  </xdr:twoCellAnchor>
  <xdr:twoCellAnchor>
    <xdr:from>
      <xdr:col>0</xdr:col>
      <xdr:colOff>381000</xdr:colOff>
      <xdr:row>35</xdr:row>
      <xdr:rowOff>104775</xdr:rowOff>
    </xdr:from>
    <xdr:to>
      <xdr:col>0</xdr:col>
      <xdr:colOff>381000</xdr:colOff>
      <xdr:row>36</xdr:row>
      <xdr:rowOff>171450</xdr:rowOff>
    </xdr:to>
    <xdr:sp macro="" textlink="">
      <xdr:nvSpPr>
        <xdr:cNvPr id="85167" name="Line 175">
          <a:extLst>
            <a:ext uri="{FF2B5EF4-FFF2-40B4-BE49-F238E27FC236}">
              <a16:creationId xmlns:a16="http://schemas.microsoft.com/office/drawing/2014/main" id="{265AD6B3-3142-4E5F-BB8F-690E2ADE7A55}"/>
            </a:ext>
          </a:extLst>
        </xdr:cNvPr>
        <xdr:cNvSpPr>
          <a:spLocks noChangeShapeType="1"/>
        </xdr:cNvSpPr>
      </xdr:nvSpPr>
      <xdr:spPr bwMode="auto">
        <a:xfrm>
          <a:off x="381000" y="6772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36</xdr:row>
      <xdr:rowOff>161925</xdr:rowOff>
    </xdr:from>
    <xdr:to>
      <xdr:col>4</xdr:col>
      <xdr:colOff>381000</xdr:colOff>
      <xdr:row>36</xdr:row>
      <xdr:rowOff>161925</xdr:rowOff>
    </xdr:to>
    <xdr:sp macro="" textlink="">
      <xdr:nvSpPr>
        <xdr:cNvPr id="85166" name="Line 174">
          <a:extLst>
            <a:ext uri="{FF2B5EF4-FFF2-40B4-BE49-F238E27FC236}">
              <a16:creationId xmlns:a16="http://schemas.microsoft.com/office/drawing/2014/main" id="{D62151B2-5B59-4AEC-A0B9-DDF6C0F2DB8E}"/>
            </a:ext>
          </a:extLst>
        </xdr:cNvPr>
        <xdr:cNvSpPr>
          <a:spLocks noChangeShapeType="1"/>
        </xdr:cNvSpPr>
      </xdr:nvSpPr>
      <xdr:spPr bwMode="auto">
        <a:xfrm>
          <a:off x="381000" y="701992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35</xdr:row>
      <xdr:rowOff>104775</xdr:rowOff>
    </xdr:from>
    <xdr:to>
      <xdr:col>4</xdr:col>
      <xdr:colOff>381000</xdr:colOff>
      <xdr:row>36</xdr:row>
      <xdr:rowOff>171450</xdr:rowOff>
    </xdr:to>
    <xdr:sp macro="" textlink="">
      <xdr:nvSpPr>
        <xdr:cNvPr id="85165" name="Line 173">
          <a:extLst>
            <a:ext uri="{FF2B5EF4-FFF2-40B4-BE49-F238E27FC236}">
              <a16:creationId xmlns:a16="http://schemas.microsoft.com/office/drawing/2014/main" id="{15038F81-3B00-432E-BBF8-C0D3D1A28335}"/>
            </a:ext>
          </a:extLst>
        </xdr:cNvPr>
        <xdr:cNvSpPr>
          <a:spLocks noChangeShapeType="1"/>
        </xdr:cNvSpPr>
      </xdr:nvSpPr>
      <xdr:spPr bwMode="auto">
        <a:xfrm>
          <a:off x="2819400" y="6772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35</xdr:row>
      <xdr:rowOff>104775</xdr:rowOff>
    </xdr:from>
    <xdr:to>
      <xdr:col>5</xdr:col>
      <xdr:colOff>180975</xdr:colOff>
      <xdr:row>36</xdr:row>
      <xdr:rowOff>171450</xdr:rowOff>
    </xdr:to>
    <xdr:sp macro="" textlink="">
      <xdr:nvSpPr>
        <xdr:cNvPr id="85164" name="Rectangle 172">
          <a:extLst>
            <a:ext uri="{FF2B5EF4-FFF2-40B4-BE49-F238E27FC236}">
              <a16:creationId xmlns:a16="http://schemas.microsoft.com/office/drawing/2014/main" id="{3DC531F4-083E-4DB8-86DF-E5393D59A9E0}"/>
            </a:ext>
          </a:extLst>
        </xdr:cNvPr>
        <xdr:cNvSpPr>
          <a:spLocks noChangeArrowheads="1"/>
        </xdr:cNvSpPr>
      </xdr:nvSpPr>
      <xdr:spPr bwMode="auto">
        <a:xfrm>
          <a:off x="2819400" y="6772275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6350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4</xdr:col>
      <xdr:colOff>381000</xdr:colOff>
      <xdr:row>36</xdr:row>
      <xdr:rowOff>161925</xdr:rowOff>
    </xdr:from>
    <xdr:to>
      <xdr:col>5</xdr:col>
      <xdr:colOff>180975</xdr:colOff>
      <xdr:row>36</xdr:row>
      <xdr:rowOff>161925</xdr:rowOff>
    </xdr:to>
    <xdr:sp macro="" textlink="">
      <xdr:nvSpPr>
        <xdr:cNvPr id="85163" name="Line 171">
          <a:extLst>
            <a:ext uri="{FF2B5EF4-FFF2-40B4-BE49-F238E27FC236}">
              <a16:creationId xmlns:a16="http://schemas.microsoft.com/office/drawing/2014/main" id="{B82BD171-7BC7-4F39-BA3D-EF344C0423EC}"/>
            </a:ext>
          </a:extLst>
        </xdr:cNvPr>
        <xdr:cNvSpPr>
          <a:spLocks noChangeShapeType="1"/>
        </xdr:cNvSpPr>
      </xdr:nvSpPr>
      <xdr:spPr bwMode="auto">
        <a:xfrm>
          <a:off x="2819400" y="701992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35</xdr:row>
      <xdr:rowOff>104775</xdr:rowOff>
    </xdr:from>
    <xdr:to>
      <xdr:col>5</xdr:col>
      <xdr:colOff>180975</xdr:colOff>
      <xdr:row>36</xdr:row>
      <xdr:rowOff>171450</xdr:rowOff>
    </xdr:to>
    <xdr:sp macro="" textlink="">
      <xdr:nvSpPr>
        <xdr:cNvPr id="85162" name="Line 170">
          <a:extLst>
            <a:ext uri="{FF2B5EF4-FFF2-40B4-BE49-F238E27FC236}">
              <a16:creationId xmlns:a16="http://schemas.microsoft.com/office/drawing/2014/main" id="{CFA65136-632B-45F3-B9B2-B2955E12598B}"/>
            </a:ext>
          </a:extLst>
        </xdr:cNvPr>
        <xdr:cNvSpPr>
          <a:spLocks noChangeShapeType="1"/>
        </xdr:cNvSpPr>
      </xdr:nvSpPr>
      <xdr:spPr bwMode="auto">
        <a:xfrm>
          <a:off x="3228975" y="6772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36</xdr:row>
      <xdr:rowOff>161925</xdr:rowOff>
    </xdr:from>
    <xdr:to>
      <xdr:col>7</xdr:col>
      <xdr:colOff>257175</xdr:colOff>
      <xdr:row>36</xdr:row>
      <xdr:rowOff>161925</xdr:rowOff>
    </xdr:to>
    <xdr:sp macro="" textlink="">
      <xdr:nvSpPr>
        <xdr:cNvPr id="85160" name="Line 168">
          <a:extLst>
            <a:ext uri="{FF2B5EF4-FFF2-40B4-BE49-F238E27FC236}">
              <a16:creationId xmlns:a16="http://schemas.microsoft.com/office/drawing/2014/main" id="{98848DA8-51BC-4924-895C-A6C3ACD2725A}"/>
            </a:ext>
          </a:extLst>
        </xdr:cNvPr>
        <xdr:cNvSpPr>
          <a:spLocks noChangeShapeType="1"/>
        </xdr:cNvSpPr>
      </xdr:nvSpPr>
      <xdr:spPr bwMode="auto">
        <a:xfrm>
          <a:off x="3228975" y="701992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35</xdr:row>
      <xdr:rowOff>104775</xdr:rowOff>
    </xdr:from>
    <xdr:to>
      <xdr:col>7</xdr:col>
      <xdr:colOff>257175</xdr:colOff>
      <xdr:row>36</xdr:row>
      <xdr:rowOff>171450</xdr:rowOff>
    </xdr:to>
    <xdr:sp macro="" textlink="">
      <xdr:nvSpPr>
        <xdr:cNvPr id="85159" name="Line 167">
          <a:extLst>
            <a:ext uri="{FF2B5EF4-FFF2-40B4-BE49-F238E27FC236}">
              <a16:creationId xmlns:a16="http://schemas.microsoft.com/office/drawing/2014/main" id="{FE8F2B6E-9914-4469-8C1F-8F23D206AF63}"/>
            </a:ext>
          </a:extLst>
        </xdr:cNvPr>
        <xdr:cNvSpPr>
          <a:spLocks noChangeShapeType="1"/>
        </xdr:cNvSpPr>
      </xdr:nvSpPr>
      <xdr:spPr bwMode="auto">
        <a:xfrm>
          <a:off x="4524375" y="6772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36</xdr:row>
      <xdr:rowOff>161925</xdr:rowOff>
    </xdr:from>
    <xdr:to>
      <xdr:col>8</xdr:col>
      <xdr:colOff>523875</xdr:colOff>
      <xdr:row>36</xdr:row>
      <xdr:rowOff>161925</xdr:rowOff>
    </xdr:to>
    <xdr:sp macro="" textlink="">
      <xdr:nvSpPr>
        <xdr:cNvPr id="85157" name="Line 165">
          <a:extLst>
            <a:ext uri="{FF2B5EF4-FFF2-40B4-BE49-F238E27FC236}">
              <a16:creationId xmlns:a16="http://schemas.microsoft.com/office/drawing/2014/main" id="{9E07ACDC-A31F-4E9C-89E3-95824E684302}"/>
            </a:ext>
          </a:extLst>
        </xdr:cNvPr>
        <xdr:cNvSpPr>
          <a:spLocks noChangeShapeType="1"/>
        </xdr:cNvSpPr>
      </xdr:nvSpPr>
      <xdr:spPr bwMode="auto">
        <a:xfrm>
          <a:off x="4524375" y="701992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35</xdr:row>
      <xdr:rowOff>104775</xdr:rowOff>
    </xdr:from>
    <xdr:to>
      <xdr:col>8</xdr:col>
      <xdr:colOff>523875</xdr:colOff>
      <xdr:row>36</xdr:row>
      <xdr:rowOff>171450</xdr:rowOff>
    </xdr:to>
    <xdr:sp macro="" textlink="">
      <xdr:nvSpPr>
        <xdr:cNvPr id="85156" name="Line 164">
          <a:extLst>
            <a:ext uri="{FF2B5EF4-FFF2-40B4-BE49-F238E27FC236}">
              <a16:creationId xmlns:a16="http://schemas.microsoft.com/office/drawing/2014/main" id="{9519E3BD-0DFA-4064-94A6-B26FF0F07F9D}"/>
            </a:ext>
          </a:extLst>
        </xdr:cNvPr>
        <xdr:cNvSpPr>
          <a:spLocks noChangeShapeType="1"/>
        </xdr:cNvSpPr>
      </xdr:nvSpPr>
      <xdr:spPr bwMode="auto">
        <a:xfrm>
          <a:off x="5400675" y="6772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36</xdr:row>
      <xdr:rowOff>161925</xdr:rowOff>
    </xdr:from>
    <xdr:to>
      <xdr:col>10</xdr:col>
      <xdr:colOff>190500</xdr:colOff>
      <xdr:row>36</xdr:row>
      <xdr:rowOff>161925</xdr:rowOff>
    </xdr:to>
    <xdr:sp macro="" textlink="">
      <xdr:nvSpPr>
        <xdr:cNvPr id="85154" name="Line 162">
          <a:extLst>
            <a:ext uri="{FF2B5EF4-FFF2-40B4-BE49-F238E27FC236}">
              <a16:creationId xmlns:a16="http://schemas.microsoft.com/office/drawing/2014/main" id="{1B4409D5-5BB3-4FE4-9695-D94A454FE962}"/>
            </a:ext>
          </a:extLst>
        </xdr:cNvPr>
        <xdr:cNvSpPr>
          <a:spLocks noChangeShapeType="1"/>
        </xdr:cNvSpPr>
      </xdr:nvSpPr>
      <xdr:spPr bwMode="auto">
        <a:xfrm>
          <a:off x="5400675" y="701992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35</xdr:row>
      <xdr:rowOff>104775</xdr:rowOff>
    </xdr:from>
    <xdr:to>
      <xdr:col>10</xdr:col>
      <xdr:colOff>190500</xdr:colOff>
      <xdr:row>36</xdr:row>
      <xdr:rowOff>171450</xdr:rowOff>
    </xdr:to>
    <xdr:sp macro="" textlink="">
      <xdr:nvSpPr>
        <xdr:cNvPr id="85153" name="Line 161">
          <a:extLst>
            <a:ext uri="{FF2B5EF4-FFF2-40B4-BE49-F238E27FC236}">
              <a16:creationId xmlns:a16="http://schemas.microsoft.com/office/drawing/2014/main" id="{691BE4C3-2C76-41C4-928E-8B051B6A9322}"/>
            </a:ext>
          </a:extLst>
        </xdr:cNvPr>
        <xdr:cNvSpPr>
          <a:spLocks noChangeShapeType="1"/>
        </xdr:cNvSpPr>
      </xdr:nvSpPr>
      <xdr:spPr bwMode="auto">
        <a:xfrm>
          <a:off x="6286500" y="6772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36</xdr:row>
      <xdr:rowOff>161925</xdr:rowOff>
    </xdr:from>
    <xdr:to>
      <xdr:col>11</xdr:col>
      <xdr:colOff>476250</xdr:colOff>
      <xdr:row>36</xdr:row>
      <xdr:rowOff>161925</xdr:rowOff>
    </xdr:to>
    <xdr:sp macro="" textlink="">
      <xdr:nvSpPr>
        <xdr:cNvPr id="85151" name="Line 159">
          <a:extLst>
            <a:ext uri="{FF2B5EF4-FFF2-40B4-BE49-F238E27FC236}">
              <a16:creationId xmlns:a16="http://schemas.microsoft.com/office/drawing/2014/main" id="{786C7221-7101-47B1-B135-C3C2BCE80A49}"/>
            </a:ext>
          </a:extLst>
        </xdr:cNvPr>
        <xdr:cNvSpPr>
          <a:spLocks noChangeShapeType="1"/>
        </xdr:cNvSpPr>
      </xdr:nvSpPr>
      <xdr:spPr bwMode="auto">
        <a:xfrm>
          <a:off x="6286500" y="701992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35</xdr:row>
      <xdr:rowOff>104775</xdr:rowOff>
    </xdr:from>
    <xdr:to>
      <xdr:col>11</xdr:col>
      <xdr:colOff>466725</xdr:colOff>
      <xdr:row>36</xdr:row>
      <xdr:rowOff>171450</xdr:rowOff>
    </xdr:to>
    <xdr:sp macro="" textlink="">
      <xdr:nvSpPr>
        <xdr:cNvPr id="85150" name="Line 158">
          <a:extLst>
            <a:ext uri="{FF2B5EF4-FFF2-40B4-BE49-F238E27FC236}">
              <a16:creationId xmlns:a16="http://schemas.microsoft.com/office/drawing/2014/main" id="{58A8F06A-0BAC-4C74-85C3-4052D0C04B3E}"/>
            </a:ext>
          </a:extLst>
        </xdr:cNvPr>
        <xdr:cNvSpPr>
          <a:spLocks noChangeShapeType="1"/>
        </xdr:cNvSpPr>
      </xdr:nvSpPr>
      <xdr:spPr bwMode="auto">
        <a:xfrm>
          <a:off x="7172325" y="6772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36</xdr:row>
      <xdr:rowOff>161925</xdr:rowOff>
    </xdr:from>
    <xdr:to>
      <xdr:col>11</xdr:col>
      <xdr:colOff>466725</xdr:colOff>
      <xdr:row>38</xdr:row>
      <xdr:rowOff>38100</xdr:rowOff>
    </xdr:to>
    <xdr:sp macro="" textlink="">
      <xdr:nvSpPr>
        <xdr:cNvPr id="85149" name="Rectangle 157">
          <a:extLst>
            <a:ext uri="{FF2B5EF4-FFF2-40B4-BE49-F238E27FC236}">
              <a16:creationId xmlns:a16="http://schemas.microsoft.com/office/drawing/2014/main" id="{F359C8BB-BB06-4D26-9564-444439CC9454}"/>
            </a:ext>
          </a:extLst>
        </xdr:cNvPr>
        <xdr:cNvSpPr>
          <a:spLocks noChangeArrowheads="1"/>
        </xdr:cNvSpPr>
      </xdr:nvSpPr>
      <xdr:spPr bwMode="auto">
        <a:xfrm>
          <a:off x="381000" y="7019925"/>
          <a:ext cx="6791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36</xdr:row>
      <xdr:rowOff>161925</xdr:rowOff>
    </xdr:from>
    <xdr:to>
      <xdr:col>4</xdr:col>
      <xdr:colOff>381000</xdr:colOff>
      <xdr:row>38</xdr:row>
      <xdr:rowOff>38100</xdr:rowOff>
    </xdr:to>
    <xdr:sp macro="" textlink="">
      <xdr:nvSpPr>
        <xdr:cNvPr id="85148" name="Rectangle 156">
          <a:extLst>
            <a:ext uri="{FF2B5EF4-FFF2-40B4-BE49-F238E27FC236}">
              <a16:creationId xmlns:a16="http://schemas.microsoft.com/office/drawing/2014/main" id="{79FB5655-C5D4-4E41-9522-9A3B5EC25816}"/>
            </a:ext>
          </a:extLst>
        </xdr:cNvPr>
        <xdr:cNvSpPr>
          <a:spLocks noChangeArrowheads="1"/>
        </xdr:cNvSpPr>
      </xdr:nvSpPr>
      <xdr:spPr bwMode="auto">
        <a:xfrm>
          <a:off x="381000" y="7019925"/>
          <a:ext cx="2438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Zwrot kosztów wynagrodzeń, nagród i składek w DPS</a:t>
          </a:r>
        </a:p>
      </xdr:txBody>
    </xdr:sp>
    <xdr:clientData/>
  </xdr:twoCellAnchor>
  <xdr:twoCellAnchor>
    <xdr:from>
      <xdr:col>0</xdr:col>
      <xdr:colOff>381000</xdr:colOff>
      <xdr:row>36</xdr:row>
      <xdr:rowOff>161925</xdr:rowOff>
    </xdr:from>
    <xdr:to>
      <xdr:col>0</xdr:col>
      <xdr:colOff>381000</xdr:colOff>
      <xdr:row>38</xdr:row>
      <xdr:rowOff>38100</xdr:rowOff>
    </xdr:to>
    <xdr:sp macro="" textlink="">
      <xdr:nvSpPr>
        <xdr:cNvPr id="85147" name="Line 155">
          <a:extLst>
            <a:ext uri="{FF2B5EF4-FFF2-40B4-BE49-F238E27FC236}">
              <a16:creationId xmlns:a16="http://schemas.microsoft.com/office/drawing/2014/main" id="{096CBA1A-C163-48C4-BD7A-A50E0B5083C9}"/>
            </a:ext>
          </a:extLst>
        </xdr:cNvPr>
        <xdr:cNvSpPr>
          <a:spLocks noChangeShapeType="1"/>
        </xdr:cNvSpPr>
      </xdr:nvSpPr>
      <xdr:spPr bwMode="auto">
        <a:xfrm>
          <a:off x="381000" y="7019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38</xdr:row>
      <xdr:rowOff>38100</xdr:rowOff>
    </xdr:from>
    <xdr:to>
      <xdr:col>4</xdr:col>
      <xdr:colOff>381000</xdr:colOff>
      <xdr:row>38</xdr:row>
      <xdr:rowOff>38100</xdr:rowOff>
    </xdr:to>
    <xdr:sp macro="" textlink="">
      <xdr:nvSpPr>
        <xdr:cNvPr id="85146" name="Line 154">
          <a:extLst>
            <a:ext uri="{FF2B5EF4-FFF2-40B4-BE49-F238E27FC236}">
              <a16:creationId xmlns:a16="http://schemas.microsoft.com/office/drawing/2014/main" id="{DF6C440A-38EE-4362-B633-830A8ED3EDFB}"/>
            </a:ext>
          </a:extLst>
        </xdr:cNvPr>
        <xdr:cNvSpPr>
          <a:spLocks noChangeShapeType="1"/>
        </xdr:cNvSpPr>
      </xdr:nvSpPr>
      <xdr:spPr bwMode="auto">
        <a:xfrm>
          <a:off x="381000" y="7277100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36</xdr:row>
      <xdr:rowOff>161925</xdr:rowOff>
    </xdr:from>
    <xdr:to>
      <xdr:col>4</xdr:col>
      <xdr:colOff>381000</xdr:colOff>
      <xdr:row>38</xdr:row>
      <xdr:rowOff>38100</xdr:rowOff>
    </xdr:to>
    <xdr:sp macro="" textlink="">
      <xdr:nvSpPr>
        <xdr:cNvPr id="85145" name="Line 153">
          <a:extLst>
            <a:ext uri="{FF2B5EF4-FFF2-40B4-BE49-F238E27FC236}">
              <a16:creationId xmlns:a16="http://schemas.microsoft.com/office/drawing/2014/main" id="{E3C2EED0-3506-47E3-AB81-25C7C360C0E4}"/>
            </a:ext>
          </a:extLst>
        </xdr:cNvPr>
        <xdr:cNvSpPr>
          <a:spLocks noChangeShapeType="1"/>
        </xdr:cNvSpPr>
      </xdr:nvSpPr>
      <xdr:spPr bwMode="auto">
        <a:xfrm>
          <a:off x="2819400" y="7019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36</xdr:row>
      <xdr:rowOff>161925</xdr:rowOff>
    </xdr:from>
    <xdr:to>
      <xdr:col>5</xdr:col>
      <xdr:colOff>180975</xdr:colOff>
      <xdr:row>38</xdr:row>
      <xdr:rowOff>38100</xdr:rowOff>
    </xdr:to>
    <xdr:sp macro="" textlink="">
      <xdr:nvSpPr>
        <xdr:cNvPr id="85144" name="Rectangle 152">
          <a:extLst>
            <a:ext uri="{FF2B5EF4-FFF2-40B4-BE49-F238E27FC236}">
              <a16:creationId xmlns:a16="http://schemas.microsoft.com/office/drawing/2014/main" id="{EFFDE989-2310-40DF-8864-D3303424FDA7}"/>
            </a:ext>
          </a:extLst>
        </xdr:cNvPr>
        <xdr:cNvSpPr>
          <a:spLocks noChangeArrowheads="1"/>
        </xdr:cNvSpPr>
      </xdr:nvSpPr>
      <xdr:spPr bwMode="auto">
        <a:xfrm>
          <a:off x="2819400" y="7019925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6350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4</xdr:col>
      <xdr:colOff>381000</xdr:colOff>
      <xdr:row>38</xdr:row>
      <xdr:rowOff>38100</xdr:rowOff>
    </xdr:from>
    <xdr:to>
      <xdr:col>5</xdr:col>
      <xdr:colOff>180975</xdr:colOff>
      <xdr:row>38</xdr:row>
      <xdr:rowOff>38100</xdr:rowOff>
    </xdr:to>
    <xdr:sp macro="" textlink="">
      <xdr:nvSpPr>
        <xdr:cNvPr id="85143" name="Line 151">
          <a:extLst>
            <a:ext uri="{FF2B5EF4-FFF2-40B4-BE49-F238E27FC236}">
              <a16:creationId xmlns:a16="http://schemas.microsoft.com/office/drawing/2014/main" id="{1407DFF8-2A01-40A9-81DB-67C94422A318}"/>
            </a:ext>
          </a:extLst>
        </xdr:cNvPr>
        <xdr:cNvSpPr>
          <a:spLocks noChangeShapeType="1"/>
        </xdr:cNvSpPr>
      </xdr:nvSpPr>
      <xdr:spPr bwMode="auto">
        <a:xfrm>
          <a:off x="2819400" y="7277100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36</xdr:row>
      <xdr:rowOff>161925</xdr:rowOff>
    </xdr:from>
    <xdr:to>
      <xdr:col>5</xdr:col>
      <xdr:colOff>180975</xdr:colOff>
      <xdr:row>38</xdr:row>
      <xdr:rowOff>38100</xdr:rowOff>
    </xdr:to>
    <xdr:sp macro="" textlink="">
      <xdr:nvSpPr>
        <xdr:cNvPr id="85142" name="Line 150">
          <a:extLst>
            <a:ext uri="{FF2B5EF4-FFF2-40B4-BE49-F238E27FC236}">
              <a16:creationId xmlns:a16="http://schemas.microsoft.com/office/drawing/2014/main" id="{746797CF-A257-4813-80D4-E0D45B0AEC6C}"/>
            </a:ext>
          </a:extLst>
        </xdr:cNvPr>
        <xdr:cNvSpPr>
          <a:spLocks noChangeShapeType="1"/>
        </xdr:cNvSpPr>
      </xdr:nvSpPr>
      <xdr:spPr bwMode="auto">
        <a:xfrm>
          <a:off x="3228975" y="7019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38</xdr:row>
      <xdr:rowOff>38100</xdr:rowOff>
    </xdr:from>
    <xdr:to>
      <xdr:col>7</xdr:col>
      <xdr:colOff>257175</xdr:colOff>
      <xdr:row>38</xdr:row>
      <xdr:rowOff>38100</xdr:rowOff>
    </xdr:to>
    <xdr:sp macro="" textlink="">
      <xdr:nvSpPr>
        <xdr:cNvPr id="85140" name="Line 148">
          <a:extLst>
            <a:ext uri="{FF2B5EF4-FFF2-40B4-BE49-F238E27FC236}">
              <a16:creationId xmlns:a16="http://schemas.microsoft.com/office/drawing/2014/main" id="{847278A9-691A-4F14-A319-29CAF2AC4697}"/>
            </a:ext>
          </a:extLst>
        </xdr:cNvPr>
        <xdr:cNvSpPr>
          <a:spLocks noChangeShapeType="1"/>
        </xdr:cNvSpPr>
      </xdr:nvSpPr>
      <xdr:spPr bwMode="auto">
        <a:xfrm>
          <a:off x="3228975" y="7277100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36</xdr:row>
      <xdr:rowOff>161925</xdr:rowOff>
    </xdr:from>
    <xdr:to>
      <xdr:col>7</xdr:col>
      <xdr:colOff>257175</xdr:colOff>
      <xdr:row>38</xdr:row>
      <xdr:rowOff>38100</xdr:rowOff>
    </xdr:to>
    <xdr:sp macro="" textlink="">
      <xdr:nvSpPr>
        <xdr:cNvPr id="85139" name="Line 147">
          <a:extLst>
            <a:ext uri="{FF2B5EF4-FFF2-40B4-BE49-F238E27FC236}">
              <a16:creationId xmlns:a16="http://schemas.microsoft.com/office/drawing/2014/main" id="{5EF7433C-49DC-471F-884A-2D912CCF789C}"/>
            </a:ext>
          </a:extLst>
        </xdr:cNvPr>
        <xdr:cNvSpPr>
          <a:spLocks noChangeShapeType="1"/>
        </xdr:cNvSpPr>
      </xdr:nvSpPr>
      <xdr:spPr bwMode="auto">
        <a:xfrm>
          <a:off x="4524375" y="7019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38</xdr:row>
      <xdr:rowOff>38100</xdr:rowOff>
    </xdr:from>
    <xdr:to>
      <xdr:col>8</xdr:col>
      <xdr:colOff>523875</xdr:colOff>
      <xdr:row>38</xdr:row>
      <xdr:rowOff>38100</xdr:rowOff>
    </xdr:to>
    <xdr:sp macro="" textlink="">
      <xdr:nvSpPr>
        <xdr:cNvPr id="85137" name="Line 145">
          <a:extLst>
            <a:ext uri="{FF2B5EF4-FFF2-40B4-BE49-F238E27FC236}">
              <a16:creationId xmlns:a16="http://schemas.microsoft.com/office/drawing/2014/main" id="{E75A2F7A-1C8C-4BB2-803E-3556BCA6F738}"/>
            </a:ext>
          </a:extLst>
        </xdr:cNvPr>
        <xdr:cNvSpPr>
          <a:spLocks noChangeShapeType="1"/>
        </xdr:cNvSpPr>
      </xdr:nvSpPr>
      <xdr:spPr bwMode="auto">
        <a:xfrm>
          <a:off x="4524375" y="7277100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36</xdr:row>
      <xdr:rowOff>161925</xdr:rowOff>
    </xdr:from>
    <xdr:to>
      <xdr:col>8</xdr:col>
      <xdr:colOff>523875</xdr:colOff>
      <xdr:row>38</xdr:row>
      <xdr:rowOff>38100</xdr:rowOff>
    </xdr:to>
    <xdr:sp macro="" textlink="">
      <xdr:nvSpPr>
        <xdr:cNvPr id="85136" name="Line 144">
          <a:extLst>
            <a:ext uri="{FF2B5EF4-FFF2-40B4-BE49-F238E27FC236}">
              <a16:creationId xmlns:a16="http://schemas.microsoft.com/office/drawing/2014/main" id="{E3BBFDE4-044E-475A-A7A4-985422ABDE88}"/>
            </a:ext>
          </a:extLst>
        </xdr:cNvPr>
        <xdr:cNvSpPr>
          <a:spLocks noChangeShapeType="1"/>
        </xdr:cNvSpPr>
      </xdr:nvSpPr>
      <xdr:spPr bwMode="auto">
        <a:xfrm>
          <a:off x="5400675" y="7019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38</xdr:row>
      <xdr:rowOff>38100</xdr:rowOff>
    </xdr:from>
    <xdr:to>
      <xdr:col>10</xdr:col>
      <xdr:colOff>190500</xdr:colOff>
      <xdr:row>38</xdr:row>
      <xdr:rowOff>38100</xdr:rowOff>
    </xdr:to>
    <xdr:sp macro="" textlink="">
      <xdr:nvSpPr>
        <xdr:cNvPr id="85134" name="Line 142">
          <a:extLst>
            <a:ext uri="{FF2B5EF4-FFF2-40B4-BE49-F238E27FC236}">
              <a16:creationId xmlns:a16="http://schemas.microsoft.com/office/drawing/2014/main" id="{EA49D186-EDAE-4050-BB85-5BF84D4E75D4}"/>
            </a:ext>
          </a:extLst>
        </xdr:cNvPr>
        <xdr:cNvSpPr>
          <a:spLocks noChangeShapeType="1"/>
        </xdr:cNvSpPr>
      </xdr:nvSpPr>
      <xdr:spPr bwMode="auto">
        <a:xfrm>
          <a:off x="5400675" y="7277100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36</xdr:row>
      <xdr:rowOff>161925</xdr:rowOff>
    </xdr:from>
    <xdr:to>
      <xdr:col>10</xdr:col>
      <xdr:colOff>190500</xdr:colOff>
      <xdr:row>38</xdr:row>
      <xdr:rowOff>38100</xdr:rowOff>
    </xdr:to>
    <xdr:sp macro="" textlink="">
      <xdr:nvSpPr>
        <xdr:cNvPr id="85133" name="Line 141">
          <a:extLst>
            <a:ext uri="{FF2B5EF4-FFF2-40B4-BE49-F238E27FC236}">
              <a16:creationId xmlns:a16="http://schemas.microsoft.com/office/drawing/2014/main" id="{15CDF91C-063D-4FF6-92CB-F369FAF30492}"/>
            </a:ext>
          </a:extLst>
        </xdr:cNvPr>
        <xdr:cNvSpPr>
          <a:spLocks noChangeShapeType="1"/>
        </xdr:cNvSpPr>
      </xdr:nvSpPr>
      <xdr:spPr bwMode="auto">
        <a:xfrm>
          <a:off x="6286500" y="7019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38</xdr:row>
      <xdr:rowOff>38100</xdr:rowOff>
    </xdr:from>
    <xdr:to>
      <xdr:col>11</xdr:col>
      <xdr:colOff>476250</xdr:colOff>
      <xdr:row>38</xdr:row>
      <xdr:rowOff>38100</xdr:rowOff>
    </xdr:to>
    <xdr:sp macro="" textlink="">
      <xdr:nvSpPr>
        <xdr:cNvPr id="85131" name="Line 139">
          <a:extLst>
            <a:ext uri="{FF2B5EF4-FFF2-40B4-BE49-F238E27FC236}">
              <a16:creationId xmlns:a16="http://schemas.microsoft.com/office/drawing/2014/main" id="{3E1DFA48-6FAB-4C97-9F64-3B3DC623C493}"/>
            </a:ext>
          </a:extLst>
        </xdr:cNvPr>
        <xdr:cNvSpPr>
          <a:spLocks noChangeShapeType="1"/>
        </xdr:cNvSpPr>
      </xdr:nvSpPr>
      <xdr:spPr bwMode="auto">
        <a:xfrm>
          <a:off x="6286500" y="7277100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36</xdr:row>
      <xdr:rowOff>161925</xdr:rowOff>
    </xdr:from>
    <xdr:to>
      <xdr:col>11</xdr:col>
      <xdr:colOff>466725</xdr:colOff>
      <xdr:row>38</xdr:row>
      <xdr:rowOff>38100</xdr:rowOff>
    </xdr:to>
    <xdr:sp macro="" textlink="">
      <xdr:nvSpPr>
        <xdr:cNvPr id="85130" name="Line 138">
          <a:extLst>
            <a:ext uri="{FF2B5EF4-FFF2-40B4-BE49-F238E27FC236}">
              <a16:creationId xmlns:a16="http://schemas.microsoft.com/office/drawing/2014/main" id="{CC2B6CE0-3C65-4B80-95F4-A7D7D9461378}"/>
            </a:ext>
          </a:extLst>
        </xdr:cNvPr>
        <xdr:cNvSpPr>
          <a:spLocks noChangeShapeType="1"/>
        </xdr:cNvSpPr>
      </xdr:nvSpPr>
      <xdr:spPr bwMode="auto">
        <a:xfrm>
          <a:off x="7172325" y="7019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38</xdr:row>
      <xdr:rowOff>38100</xdr:rowOff>
    </xdr:from>
    <xdr:to>
      <xdr:col>11</xdr:col>
      <xdr:colOff>466725</xdr:colOff>
      <xdr:row>39</xdr:row>
      <xdr:rowOff>104775</xdr:rowOff>
    </xdr:to>
    <xdr:sp macro="" textlink="">
      <xdr:nvSpPr>
        <xdr:cNvPr id="85129" name="Rectangle 137">
          <a:extLst>
            <a:ext uri="{FF2B5EF4-FFF2-40B4-BE49-F238E27FC236}">
              <a16:creationId xmlns:a16="http://schemas.microsoft.com/office/drawing/2014/main" id="{D9FDFCFE-8184-4624-8212-FC9F8F0B9A63}"/>
            </a:ext>
          </a:extLst>
        </xdr:cNvPr>
        <xdr:cNvSpPr>
          <a:spLocks noChangeArrowheads="1"/>
        </xdr:cNvSpPr>
      </xdr:nvSpPr>
      <xdr:spPr bwMode="auto">
        <a:xfrm>
          <a:off x="381000" y="7277100"/>
          <a:ext cx="6791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38</xdr:row>
      <xdr:rowOff>38100</xdr:rowOff>
    </xdr:from>
    <xdr:to>
      <xdr:col>4</xdr:col>
      <xdr:colOff>381000</xdr:colOff>
      <xdr:row>39</xdr:row>
      <xdr:rowOff>104775</xdr:rowOff>
    </xdr:to>
    <xdr:sp macro="" textlink="">
      <xdr:nvSpPr>
        <xdr:cNvPr id="85128" name="Rectangle 136">
          <a:extLst>
            <a:ext uri="{FF2B5EF4-FFF2-40B4-BE49-F238E27FC236}">
              <a16:creationId xmlns:a16="http://schemas.microsoft.com/office/drawing/2014/main" id="{37B18793-B741-4C86-AD3C-077C3EAD5721}"/>
            </a:ext>
          </a:extLst>
        </xdr:cNvPr>
        <xdr:cNvSpPr>
          <a:spLocks noChangeArrowheads="1"/>
        </xdr:cNvSpPr>
      </xdr:nvSpPr>
      <xdr:spPr bwMode="auto">
        <a:xfrm>
          <a:off x="381000" y="7277100"/>
          <a:ext cx="2438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Koszty wynagrodzeń osób skierowanych do spółdzielni socjalnej</a:t>
          </a:r>
        </a:p>
      </xdr:txBody>
    </xdr:sp>
    <xdr:clientData/>
  </xdr:twoCellAnchor>
  <xdr:twoCellAnchor>
    <xdr:from>
      <xdr:col>0</xdr:col>
      <xdr:colOff>381000</xdr:colOff>
      <xdr:row>38</xdr:row>
      <xdr:rowOff>38100</xdr:rowOff>
    </xdr:from>
    <xdr:to>
      <xdr:col>0</xdr:col>
      <xdr:colOff>381000</xdr:colOff>
      <xdr:row>39</xdr:row>
      <xdr:rowOff>104775</xdr:rowOff>
    </xdr:to>
    <xdr:sp macro="" textlink="">
      <xdr:nvSpPr>
        <xdr:cNvPr id="85127" name="Line 135">
          <a:extLst>
            <a:ext uri="{FF2B5EF4-FFF2-40B4-BE49-F238E27FC236}">
              <a16:creationId xmlns:a16="http://schemas.microsoft.com/office/drawing/2014/main" id="{99031C56-7A0A-45C9-BBBA-4F184BB7BCB8}"/>
            </a:ext>
          </a:extLst>
        </xdr:cNvPr>
        <xdr:cNvSpPr>
          <a:spLocks noChangeShapeType="1"/>
        </xdr:cNvSpPr>
      </xdr:nvSpPr>
      <xdr:spPr bwMode="auto">
        <a:xfrm>
          <a:off x="381000" y="7277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39</xdr:row>
      <xdr:rowOff>104775</xdr:rowOff>
    </xdr:from>
    <xdr:to>
      <xdr:col>4</xdr:col>
      <xdr:colOff>381000</xdr:colOff>
      <xdr:row>39</xdr:row>
      <xdr:rowOff>104775</xdr:rowOff>
    </xdr:to>
    <xdr:sp macro="" textlink="">
      <xdr:nvSpPr>
        <xdr:cNvPr id="85126" name="Line 134">
          <a:extLst>
            <a:ext uri="{FF2B5EF4-FFF2-40B4-BE49-F238E27FC236}">
              <a16:creationId xmlns:a16="http://schemas.microsoft.com/office/drawing/2014/main" id="{939A3E6A-9470-4949-A43A-A2FC589B24AC}"/>
            </a:ext>
          </a:extLst>
        </xdr:cNvPr>
        <xdr:cNvSpPr>
          <a:spLocks noChangeShapeType="1"/>
        </xdr:cNvSpPr>
      </xdr:nvSpPr>
      <xdr:spPr bwMode="auto">
        <a:xfrm>
          <a:off x="381000" y="753427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38</xdr:row>
      <xdr:rowOff>38100</xdr:rowOff>
    </xdr:from>
    <xdr:to>
      <xdr:col>4</xdr:col>
      <xdr:colOff>381000</xdr:colOff>
      <xdr:row>39</xdr:row>
      <xdr:rowOff>104775</xdr:rowOff>
    </xdr:to>
    <xdr:sp macro="" textlink="">
      <xdr:nvSpPr>
        <xdr:cNvPr id="85125" name="Line 133">
          <a:extLst>
            <a:ext uri="{FF2B5EF4-FFF2-40B4-BE49-F238E27FC236}">
              <a16:creationId xmlns:a16="http://schemas.microsoft.com/office/drawing/2014/main" id="{8BD899DC-2651-4FD3-8214-139F550DC7F4}"/>
            </a:ext>
          </a:extLst>
        </xdr:cNvPr>
        <xdr:cNvSpPr>
          <a:spLocks noChangeShapeType="1"/>
        </xdr:cNvSpPr>
      </xdr:nvSpPr>
      <xdr:spPr bwMode="auto">
        <a:xfrm>
          <a:off x="2819400" y="7277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38</xdr:row>
      <xdr:rowOff>38100</xdr:rowOff>
    </xdr:from>
    <xdr:to>
      <xdr:col>5</xdr:col>
      <xdr:colOff>180975</xdr:colOff>
      <xdr:row>39</xdr:row>
      <xdr:rowOff>104775</xdr:rowOff>
    </xdr:to>
    <xdr:sp macro="" textlink="">
      <xdr:nvSpPr>
        <xdr:cNvPr id="85124" name="Rectangle 132">
          <a:extLst>
            <a:ext uri="{FF2B5EF4-FFF2-40B4-BE49-F238E27FC236}">
              <a16:creationId xmlns:a16="http://schemas.microsoft.com/office/drawing/2014/main" id="{1026747D-A2B7-48F7-A670-D85AB9830CD8}"/>
            </a:ext>
          </a:extLst>
        </xdr:cNvPr>
        <xdr:cNvSpPr>
          <a:spLocks noChangeArrowheads="1"/>
        </xdr:cNvSpPr>
      </xdr:nvSpPr>
      <xdr:spPr bwMode="auto">
        <a:xfrm>
          <a:off x="2819400" y="7277100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6350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4</xdr:col>
      <xdr:colOff>381000</xdr:colOff>
      <xdr:row>39</xdr:row>
      <xdr:rowOff>104775</xdr:rowOff>
    </xdr:from>
    <xdr:to>
      <xdr:col>5</xdr:col>
      <xdr:colOff>180975</xdr:colOff>
      <xdr:row>39</xdr:row>
      <xdr:rowOff>104775</xdr:rowOff>
    </xdr:to>
    <xdr:sp macro="" textlink="">
      <xdr:nvSpPr>
        <xdr:cNvPr id="85123" name="Line 131">
          <a:extLst>
            <a:ext uri="{FF2B5EF4-FFF2-40B4-BE49-F238E27FC236}">
              <a16:creationId xmlns:a16="http://schemas.microsoft.com/office/drawing/2014/main" id="{7B14BA83-1F03-4069-A052-BE9B517DAD76}"/>
            </a:ext>
          </a:extLst>
        </xdr:cNvPr>
        <xdr:cNvSpPr>
          <a:spLocks noChangeShapeType="1"/>
        </xdr:cNvSpPr>
      </xdr:nvSpPr>
      <xdr:spPr bwMode="auto">
        <a:xfrm>
          <a:off x="2819400" y="753427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38</xdr:row>
      <xdr:rowOff>38100</xdr:rowOff>
    </xdr:from>
    <xdr:to>
      <xdr:col>5</xdr:col>
      <xdr:colOff>180975</xdr:colOff>
      <xdr:row>39</xdr:row>
      <xdr:rowOff>104775</xdr:rowOff>
    </xdr:to>
    <xdr:sp macro="" textlink="">
      <xdr:nvSpPr>
        <xdr:cNvPr id="85122" name="Line 130">
          <a:extLst>
            <a:ext uri="{FF2B5EF4-FFF2-40B4-BE49-F238E27FC236}">
              <a16:creationId xmlns:a16="http://schemas.microsoft.com/office/drawing/2014/main" id="{EA56B731-CFC5-427E-9B4D-38AF220253A2}"/>
            </a:ext>
          </a:extLst>
        </xdr:cNvPr>
        <xdr:cNvSpPr>
          <a:spLocks noChangeShapeType="1"/>
        </xdr:cNvSpPr>
      </xdr:nvSpPr>
      <xdr:spPr bwMode="auto">
        <a:xfrm>
          <a:off x="3228975" y="7277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39</xdr:row>
      <xdr:rowOff>104775</xdr:rowOff>
    </xdr:from>
    <xdr:to>
      <xdr:col>7</xdr:col>
      <xdr:colOff>257175</xdr:colOff>
      <xdr:row>39</xdr:row>
      <xdr:rowOff>104775</xdr:rowOff>
    </xdr:to>
    <xdr:sp macro="" textlink="">
      <xdr:nvSpPr>
        <xdr:cNvPr id="85120" name="Line 128">
          <a:extLst>
            <a:ext uri="{FF2B5EF4-FFF2-40B4-BE49-F238E27FC236}">
              <a16:creationId xmlns:a16="http://schemas.microsoft.com/office/drawing/2014/main" id="{803625FE-2ABF-406D-B15F-E380DF6106AE}"/>
            </a:ext>
          </a:extLst>
        </xdr:cNvPr>
        <xdr:cNvSpPr>
          <a:spLocks noChangeShapeType="1"/>
        </xdr:cNvSpPr>
      </xdr:nvSpPr>
      <xdr:spPr bwMode="auto">
        <a:xfrm>
          <a:off x="3228975" y="753427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38</xdr:row>
      <xdr:rowOff>38100</xdr:rowOff>
    </xdr:from>
    <xdr:to>
      <xdr:col>7</xdr:col>
      <xdr:colOff>257175</xdr:colOff>
      <xdr:row>39</xdr:row>
      <xdr:rowOff>104775</xdr:rowOff>
    </xdr:to>
    <xdr:sp macro="" textlink="">
      <xdr:nvSpPr>
        <xdr:cNvPr id="85119" name="Line 127">
          <a:extLst>
            <a:ext uri="{FF2B5EF4-FFF2-40B4-BE49-F238E27FC236}">
              <a16:creationId xmlns:a16="http://schemas.microsoft.com/office/drawing/2014/main" id="{4E99BF84-84CA-4A8F-B8BC-DBB83968E5D8}"/>
            </a:ext>
          </a:extLst>
        </xdr:cNvPr>
        <xdr:cNvSpPr>
          <a:spLocks noChangeShapeType="1"/>
        </xdr:cNvSpPr>
      </xdr:nvSpPr>
      <xdr:spPr bwMode="auto">
        <a:xfrm>
          <a:off x="4524375" y="7277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39</xdr:row>
      <xdr:rowOff>104775</xdr:rowOff>
    </xdr:from>
    <xdr:to>
      <xdr:col>8</xdr:col>
      <xdr:colOff>523875</xdr:colOff>
      <xdr:row>39</xdr:row>
      <xdr:rowOff>104775</xdr:rowOff>
    </xdr:to>
    <xdr:sp macro="" textlink="">
      <xdr:nvSpPr>
        <xdr:cNvPr id="85117" name="Line 125">
          <a:extLst>
            <a:ext uri="{FF2B5EF4-FFF2-40B4-BE49-F238E27FC236}">
              <a16:creationId xmlns:a16="http://schemas.microsoft.com/office/drawing/2014/main" id="{0C69A6C5-8A80-4CBF-AC0E-0E055D00BFCB}"/>
            </a:ext>
          </a:extLst>
        </xdr:cNvPr>
        <xdr:cNvSpPr>
          <a:spLocks noChangeShapeType="1"/>
        </xdr:cNvSpPr>
      </xdr:nvSpPr>
      <xdr:spPr bwMode="auto">
        <a:xfrm>
          <a:off x="4524375" y="753427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38</xdr:row>
      <xdr:rowOff>38100</xdr:rowOff>
    </xdr:from>
    <xdr:to>
      <xdr:col>8</xdr:col>
      <xdr:colOff>523875</xdr:colOff>
      <xdr:row>39</xdr:row>
      <xdr:rowOff>104775</xdr:rowOff>
    </xdr:to>
    <xdr:sp macro="" textlink="">
      <xdr:nvSpPr>
        <xdr:cNvPr id="85116" name="Line 124">
          <a:extLst>
            <a:ext uri="{FF2B5EF4-FFF2-40B4-BE49-F238E27FC236}">
              <a16:creationId xmlns:a16="http://schemas.microsoft.com/office/drawing/2014/main" id="{71F441CE-E0F5-4D01-9126-F48AFD552A15}"/>
            </a:ext>
          </a:extLst>
        </xdr:cNvPr>
        <xdr:cNvSpPr>
          <a:spLocks noChangeShapeType="1"/>
        </xdr:cNvSpPr>
      </xdr:nvSpPr>
      <xdr:spPr bwMode="auto">
        <a:xfrm>
          <a:off x="5400675" y="7277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39</xdr:row>
      <xdr:rowOff>104775</xdr:rowOff>
    </xdr:from>
    <xdr:to>
      <xdr:col>10</xdr:col>
      <xdr:colOff>190500</xdr:colOff>
      <xdr:row>39</xdr:row>
      <xdr:rowOff>104775</xdr:rowOff>
    </xdr:to>
    <xdr:sp macro="" textlink="">
      <xdr:nvSpPr>
        <xdr:cNvPr id="85114" name="Line 122">
          <a:extLst>
            <a:ext uri="{FF2B5EF4-FFF2-40B4-BE49-F238E27FC236}">
              <a16:creationId xmlns:a16="http://schemas.microsoft.com/office/drawing/2014/main" id="{77840D27-EB09-44AE-A749-A73FC69EAC0A}"/>
            </a:ext>
          </a:extLst>
        </xdr:cNvPr>
        <xdr:cNvSpPr>
          <a:spLocks noChangeShapeType="1"/>
        </xdr:cNvSpPr>
      </xdr:nvSpPr>
      <xdr:spPr bwMode="auto">
        <a:xfrm>
          <a:off x="5400675" y="753427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38</xdr:row>
      <xdr:rowOff>38100</xdr:rowOff>
    </xdr:from>
    <xdr:to>
      <xdr:col>10</xdr:col>
      <xdr:colOff>190500</xdr:colOff>
      <xdr:row>39</xdr:row>
      <xdr:rowOff>104775</xdr:rowOff>
    </xdr:to>
    <xdr:sp macro="" textlink="">
      <xdr:nvSpPr>
        <xdr:cNvPr id="85113" name="Line 121">
          <a:extLst>
            <a:ext uri="{FF2B5EF4-FFF2-40B4-BE49-F238E27FC236}">
              <a16:creationId xmlns:a16="http://schemas.microsoft.com/office/drawing/2014/main" id="{D73152CB-B442-4C1A-9C15-F88D29EB09A5}"/>
            </a:ext>
          </a:extLst>
        </xdr:cNvPr>
        <xdr:cNvSpPr>
          <a:spLocks noChangeShapeType="1"/>
        </xdr:cNvSpPr>
      </xdr:nvSpPr>
      <xdr:spPr bwMode="auto">
        <a:xfrm>
          <a:off x="6286500" y="7277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39</xdr:row>
      <xdr:rowOff>104775</xdr:rowOff>
    </xdr:from>
    <xdr:to>
      <xdr:col>11</xdr:col>
      <xdr:colOff>476250</xdr:colOff>
      <xdr:row>39</xdr:row>
      <xdr:rowOff>104775</xdr:rowOff>
    </xdr:to>
    <xdr:sp macro="" textlink="">
      <xdr:nvSpPr>
        <xdr:cNvPr id="85111" name="Line 119">
          <a:extLst>
            <a:ext uri="{FF2B5EF4-FFF2-40B4-BE49-F238E27FC236}">
              <a16:creationId xmlns:a16="http://schemas.microsoft.com/office/drawing/2014/main" id="{6EB5CA1F-7EF2-4222-9534-BAA25C997DDF}"/>
            </a:ext>
          </a:extLst>
        </xdr:cNvPr>
        <xdr:cNvSpPr>
          <a:spLocks noChangeShapeType="1"/>
        </xdr:cNvSpPr>
      </xdr:nvSpPr>
      <xdr:spPr bwMode="auto">
        <a:xfrm>
          <a:off x="6286500" y="753427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38</xdr:row>
      <xdr:rowOff>38100</xdr:rowOff>
    </xdr:from>
    <xdr:to>
      <xdr:col>11</xdr:col>
      <xdr:colOff>466725</xdr:colOff>
      <xdr:row>39</xdr:row>
      <xdr:rowOff>104775</xdr:rowOff>
    </xdr:to>
    <xdr:sp macro="" textlink="">
      <xdr:nvSpPr>
        <xdr:cNvPr id="85110" name="Line 118">
          <a:extLst>
            <a:ext uri="{FF2B5EF4-FFF2-40B4-BE49-F238E27FC236}">
              <a16:creationId xmlns:a16="http://schemas.microsoft.com/office/drawing/2014/main" id="{DF4B0421-B4FC-447D-8E85-8368D8A4AFEE}"/>
            </a:ext>
          </a:extLst>
        </xdr:cNvPr>
        <xdr:cNvSpPr>
          <a:spLocks noChangeShapeType="1"/>
        </xdr:cNvSpPr>
      </xdr:nvSpPr>
      <xdr:spPr bwMode="auto">
        <a:xfrm>
          <a:off x="7172325" y="7277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39</xdr:row>
      <xdr:rowOff>104775</xdr:rowOff>
    </xdr:from>
    <xdr:to>
      <xdr:col>11</xdr:col>
      <xdr:colOff>466725</xdr:colOff>
      <xdr:row>40</xdr:row>
      <xdr:rowOff>171450</xdr:rowOff>
    </xdr:to>
    <xdr:sp macro="" textlink="">
      <xdr:nvSpPr>
        <xdr:cNvPr id="85109" name="Rectangle 117">
          <a:extLst>
            <a:ext uri="{FF2B5EF4-FFF2-40B4-BE49-F238E27FC236}">
              <a16:creationId xmlns:a16="http://schemas.microsoft.com/office/drawing/2014/main" id="{B75A433F-9E55-43BF-8CF5-47C7B2E865A1}"/>
            </a:ext>
          </a:extLst>
        </xdr:cNvPr>
        <xdr:cNvSpPr>
          <a:spLocks noChangeArrowheads="1"/>
        </xdr:cNvSpPr>
      </xdr:nvSpPr>
      <xdr:spPr bwMode="auto">
        <a:xfrm>
          <a:off x="381000" y="7534275"/>
          <a:ext cx="6791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39</xdr:row>
      <xdr:rowOff>104775</xdr:rowOff>
    </xdr:from>
    <xdr:to>
      <xdr:col>4</xdr:col>
      <xdr:colOff>381000</xdr:colOff>
      <xdr:row>40</xdr:row>
      <xdr:rowOff>171450</xdr:rowOff>
    </xdr:to>
    <xdr:sp macro="" textlink="">
      <xdr:nvSpPr>
        <xdr:cNvPr id="85108" name="Rectangle 116">
          <a:extLst>
            <a:ext uri="{FF2B5EF4-FFF2-40B4-BE49-F238E27FC236}">
              <a16:creationId xmlns:a16="http://schemas.microsoft.com/office/drawing/2014/main" id="{AFF52817-02D1-4B1B-BCB6-BB1DEC78062D}"/>
            </a:ext>
          </a:extLst>
        </xdr:cNvPr>
        <xdr:cNvSpPr>
          <a:spLocks noChangeArrowheads="1"/>
        </xdr:cNvSpPr>
      </xdr:nvSpPr>
      <xdr:spPr bwMode="auto">
        <a:xfrm>
          <a:off x="381000" y="7534275"/>
          <a:ext cx="2438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Koszty wynagrodzeń pracowników przedsiębiorstw społecznych</a:t>
          </a:r>
        </a:p>
      </xdr:txBody>
    </xdr:sp>
    <xdr:clientData/>
  </xdr:twoCellAnchor>
  <xdr:twoCellAnchor>
    <xdr:from>
      <xdr:col>0</xdr:col>
      <xdr:colOff>381000</xdr:colOff>
      <xdr:row>39</xdr:row>
      <xdr:rowOff>104775</xdr:rowOff>
    </xdr:from>
    <xdr:to>
      <xdr:col>0</xdr:col>
      <xdr:colOff>381000</xdr:colOff>
      <xdr:row>40</xdr:row>
      <xdr:rowOff>171450</xdr:rowOff>
    </xdr:to>
    <xdr:sp macro="" textlink="">
      <xdr:nvSpPr>
        <xdr:cNvPr id="85107" name="Line 115">
          <a:extLst>
            <a:ext uri="{FF2B5EF4-FFF2-40B4-BE49-F238E27FC236}">
              <a16:creationId xmlns:a16="http://schemas.microsoft.com/office/drawing/2014/main" id="{F0FA3204-18E4-4BD8-9D66-42ED4C8A5E9C}"/>
            </a:ext>
          </a:extLst>
        </xdr:cNvPr>
        <xdr:cNvSpPr>
          <a:spLocks noChangeShapeType="1"/>
        </xdr:cNvSpPr>
      </xdr:nvSpPr>
      <xdr:spPr bwMode="auto">
        <a:xfrm>
          <a:off x="381000" y="7534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40</xdr:row>
      <xdr:rowOff>161925</xdr:rowOff>
    </xdr:from>
    <xdr:to>
      <xdr:col>4</xdr:col>
      <xdr:colOff>381000</xdr:colOff>
      <xdr:row>40</xdr:row>
      <xdr:rowOff>161925</xdr:rowOff>
    </xdr:to>
    <xdr:sp macro="" textlink="">
      <xdr:nvSpPr>
        <xdr:cNvPr id="85106" name="Line 114">
          <a:extLst>
            <a:ext uri="{FF2B5EF4-FFF2-40B4-BE49-F238E27FC236}">
              <a16:creationId xmlns:a16="http://schemas.microsoft.com/office/drawing/2014/main" id="{D75C5C30-741D-454E-86E8-4F1A95F9CBE8}"/>
            </a:ext>
          </a:extLst>
        </xdr:cNvPr>
        <xdr:cNvSpPr>
          <a:spLocks noChangeShapeType="1"/>
        </xdr:cNvSpPr>
      </xdr:nvSpPr>
      <xdr:spPr bwMode="auto">
        <a:xfrm>
          <a:off x="381000" y="778192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39</xdr:row>
      <xdr:rowOff>104775</xdr:rowOff>
    </xdr:from>
    <xdr:to>
      <xdr:col>4</xdr:col>
      <xdr:colOff>381000</xdr:colOff>
      <xdr:row>40</xdr:row>
      <xdr:rowOff>171450</xdr:rowOff>
    </xdr:to>
    <xdr:sp macro="" textlink="">
      <xdr:nvSpPr>
        <xdr:cNvPr id="85105" name="Line 113">
          <a:extLst>
            <a:ext uri="{FF2B5EF4-FFF2-40B4-BE49-F238E27FC236}">
              <a16:creationId xmlns:a16="http://schemas.microsoft.com/office/drawing/2014/main" id="{1DCB5332-3682-4539-9F57-E73A86F17F2F}"/>
            </a:ext>
          </a:extLst>
        </xdr:cNvPr>
        <xdr:cNvSpPr>
          <a:spLocks noChangeShapeType="1"/>
        </xdr:cNvSpPr>
      </xdr:nvSpPr>
      <xdr:spPr bwMode="auto">
        <a:xfrm>
          <a:off x="2819400" y="7534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39</xdr:row>
      <xdr:rowOff>104775</xdr:rowOff>
    </xdr:from>
    <xdr:to>
      <xdr:col>5</xdr:col>
      <xdr:colOff>180975</xdr:colOff>
      <xdr:row>40</xdr:row>
      <xdr:rowOff>171450</xdr:rowOff>
    </xdr:to>
    <xdr:sp macro="" textlink="">
      <xdr:nvSpPr>
        <xdr:cNvPr id="85104" name="Rectangle 112">
          <a:extLst>
            <a:ext uri="{FF2B5EF4-FFF2-40B4-BE49-F238E27FC236}">
              <a16:creationId xmlns:a16="http://schemas.microsoft.com/office/drawing/2014/main" id="{C678292B-C15D-4EE3-8292-910FA821B1E7}"/>
            </a:ext>
          </a:extLst>
        </xdr:cNvPr>
        <xdr:cNvSpPr>
          <a:spLocks noChangeArrowheads="1"/>
        </xdr:cNvSpPr>
      </xdr:nvSpPr>
      <xdr:spPr bwMode="auto">
        <a:xfrm>
          <a:off x="2819400" y="7534275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6350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4</xdr:col>
      <xdr:colOff>381000</xdr:colOff>
      <xdr:row>40</xdr:row>
      <xdr:rowOff>161925</xdr:rowOff>
    </xdr:from>
    <xdr:to>
      <xdr:col>5</xdr:col>
      <xdr:colOff>180975</xdr:colOff>
      <xdr:row>40</xdr:row>
      <xdr:rowOff>161925</xdr:rowOff>
    </xdr:to>
    <xdr:sp macro="" textlink="">
      <xdr:nvSpPr>
        <xdr:cNvPr id="85103" name="Line 111">
          <a:extLst>
            <a:ext uri="{FF2B5EF4-FFF2-40B4-BE49-F238E27FC236}">
              <a16:creationId xmlns:a16="http://schemas.microsoft.com/office/drawing/2014/main" id="{EBAB10B5-6A25-454E-9D58-B4234D01AA79}"/>
            </a:ext>
          </a:extLst>
        </xdr:cNvPr>
        <xdr:cNvSpPr>
          <a:spLocks noChangeShapeType="1"/>
        </xdr:cNvSpPr>
      </xdr:nvSpPr>
      <xdr:spPr bwMode="auto">
        <a:xfrm>
          <a:off x="2819400" y="778192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39</xdr:row>
      <xdr:rowOff>104775</xdr:rowOff>
    </xdr:from>
    <xdr:to>
      <xdr:col>5</xdr:col>
      <xdr:colOff>180975</xdr:colOff>
      <xdr:row>40</xdr:row>
      <xdr:rowOff>171450</xdr:rowOff>
    </xdr:to>
    <xdr:sp macro="" textlink="">
      <xdr:nvSpPr>
        <xdr:cNvPr id="85102" name="Line 110">
          <a:extLst>
            <a:ext uri="{FF2B5EF4-FFF2-40B4-BE49-F238E27FC236}">
              <a16:creationId xmlns:a16="http://schemas.microsoft.com/office/drawing/2014/main" id="{54C295F3-8628-4B4F-A55C-6513D0D9BEA3}"/>
            </a:ext>
          </a:extLst>
        </xdr:cNvPr>
        <xdr:cNvSpPr>
          <a:spLocks noChangeShapeType="1"/>
        </xdr:cNvSpPr>
      </xdr:nvSpPr>
      <xdr:spPr bwMode="auto">
        <a:xfrm>
          <a:off x="3228975" y="7534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40</xdr:row>
      <xdr:rowOff>161925</xdr:rowOff>
    </xdr:from>
    <xdr:to>
      <xdr:col>7</xdr:col>
      <xdr:colOff>257175</xdr:colOff>
      <xdr:row>40</xdr:row>
      <xdr:rowOff>161925</xdr:rowOff>
    </xdr:to>
    <xdr:sp macro="" textlink="">
      <xdr:nvSpPr>
        <xdr:cNvPr id="85100" name="Line 108">
          <a:extLst>
            <a:ext uri="{FF2B5EF4-FFF2-40B4-BE49-F238E27FC236}">
              <a16:creationId xmlns:a16="http://schemas.microsoft.com/office/drawing/2014/main" id="{88FF869B-5355-4932-A26B-4B1945054BFA}"/>
            </a:ext>
          </a:extLst>
        </xdr:cNvPr>
        <xdr:cNvSpPr>
          <a:spLocks noChangeShapeType="1"/>
        </xdr:cNvSpPr>
      </xdr:nvSpPr>
      <xdr:spPr bwMode="auto">
        <a:xfrm>
          <a:off x="3228975" y="778192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39</xdr:row>
      <xdr:rowOff>104775</xdr:rowOff>
    </xdr:from>
    <xdr:to>
      <xdr:col>7</xdr:col>
      <xdr:colOff>257175</xdr:colOff>
      <xdr:row>40</xdr:row>
      <xdr:rowOff>171450</xdr:rowOff>
    </xdr:to>
    <xdr:sp macro="" textlink="">
      <xdr:nvSpPr>
        <xdr:cNvPr id="85099" name="Line 107">
          <a:extLst>
            <a:ext uri="{FF2B5EF4-FFF2-40B4-BE49-F238E27FC236}">
              <a16:creationId xmlns:a16="http://schemas.microsoft.com/office/drawing/2014/main" id="{4D19BF6C-1BEF-4101-AD27-081C65D15637}"/>
            </a:ext>
          </a:extLst>
        </xdr:cNvPr>
        <xdr:cNvSpPr>
          <a:spLocks noChangeShapeType="1"/>
        </xdr:cNvSpPr>
      </xdr:nvSpPr>
      <xdr:spPr bwMode="auto">
        <a:xfrm>
          <a:off x="4524375" y="7534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40</xdr:row>
      <xdr:rowOff>161925</xdr:rowOff>
    </xdr:from>
    <xdr:to>
      <xdr:col>8</xdr:col>
      <xdr:colOff>523875</xdr:colOff>
      <xdr:row>40</xdr:row>
      <xdr:rowOff>161925</xdr:rowOff>
    </xdr:to>
    <xdr:sp macro="" textlink="">
      <xdr:nvSpPr>
        <xdr:cNvPr id="85097" name="Line 105">
          <a:extLst>
            <a:ext uri="{FF2B5EF4-FFF2-40B4-BE49-F238E27FC236}">
              <a16:creationId xmlns:a16="http://schemas.microsoft.com/office/drawing/2014/main" id="{774F2940-4DEE-4DFC-9659-1EBF08C2DE3C}"/>
            </a:ext>
          </a:extLst>
        </xdr:cNvPr>
        <xdr:cNvSpPr>
          <a:spLocks noChangeShapeType="1"/>
        </xdr:cNvSpPr>
      </xdr:nvSpPr>
      <xdr:spPr bwMode="auto">
        <a:xfrm>
          <a:off x="4524375" y="778192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39</xdr:row>
      <xdr:rowOff>104775</xdr:rowOff>
    </xdr:from>
    <xdr:to>
      <xdr:col>8</xdr:col>
      <xdr:colOff>523875</xdr:colOff>
      <xdr:row>40</xdr:row>
      <xdr:rowOff>171450</xdr:rowOff>
    </xdr:to>
    <xdr:sp macro="" textlink="">
      <xdr:nvSpPr>
        <xdr:cNvPr id="85096" name="Line 104">
          <a:extLst>
            <a:ext uri="{FF2B5EF4-FFF2-40B4-BE49-F238E27FC236}">
              <a16:creationId xmlns:a16="http://schemas.microsoft.com/office/drawing/2014/main" id="{486B9E31-4537-48F8-8221-F2C523B74609}"/>
            </a:ext>
          </a:extLst>
        </xdr:cNvPr>
        <xdr:cNvSpPr>
          <a:spLocks noChangeShapeType="1"/>
        </xdr:cNvSpPr>
      </xdr:nvSpPr>
      <xdr:spPr bwMode="auto">
        <a:xfrm>
          <a:off x="5400675" y="7534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40</xdr:row>
      <xdr:rowOff>161925</xdr:rowOff>
    </xdr:from>
    <xdr:to>
      <xdr:col>10</xdr:col>
      <xdr:colOff>190500</xdr:colOff>
      <xdr:row>40</xdr:row>
      <xdr:rowOff>161925</xdr:rowOff>
    </xdr:to>
    <xdr:sp macro="" textlink="">
      <xdr:nvSpPr>
        <xdr:cNvPr id="85094" name="Line 102">
          <a:extLst>
            <a:ext uri="{FF2B5EF4-FFF2-40B4-BE49-F238E27FC236}">
              <a16:creationId xmlns:a16="http://schemas.microsoft.com/office/drawing/2014/main" id="{B16AE0D4-A4D6-43F7-AA29-96F04A2E9BBC}"/>
            </a:ext>
          </a:extLst>
        </xdr:cNvPr>
        <xdr:cNvSpPr>
          <a:spLocks noChangeShapeType="1"/>
        </xdr:cNvSpPr>
      </xdr:nvSpPr>
      <xdr:spPr bwMode="auto">
        <a:xfrm>
          <a:off x="5400675" y="778192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39</xdr:row>
      <xdr:rowOff>104775</xdr:rowOff>
    </xdr:from>
    <xdr:to>
      <xdr:col>10</xdr:col>
      <xdr:colOff>190500</xdr:colOff>
      <xdr:row>40</xdr:row>
      <xdr:rowOff>171450</xdr:rowOff>
    </xdr:to>
    <xdr:sp macro="" textlink="">
      <xdr:nvSpPr>
        <xdr:cNvPr id="85093" name="Line 101">
          <a:extLst>
            <a:ext uri="{FF2B5EF4-FFF2-40B4-BE49-F238E27FC236}">
              <a16:creationId xmlns:a16="http://schemas.microsoft.com/office/drawing/2014/main" id="{C3B2B8C2-9246-4182-9A82-0E9B51A80E1F}"/>
            </a:ext>
          </a:extLst>
        </xdr:cNvPr>
        <xdr:cNvSpPr>
          <a:spLocks noChangeShapeType="1"/>
        </xdr:cNvSpPr>
      </xdr:nvSpPr>
      <xdr:spPr bwMode="auto">
        <a:xfrm>
          <a:off x="6286500" y="7534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40</xdr:row>
      <xdr:rowOff>161925</xdr:rowOff>
    </xdr:from>
    <xdr:to>
      <xdr:col>11</xdr:col>
      <xdr:colOff>476250</xdr:colOff>
      <xdr:row>40</xdr:row>
      <xdr:rowOff>161925</xdr:rowOff>
    </xdr:to>
    <xdr:sp macro="" textlink="">
      <xdr:nvSpPr>
        <xdr:cNvPr id="85091" name="Line 99">
          <a:extLst>
            <a:ext uri="{FF2B5EF4-FFF2-40B4-BE49-F238E27FC236}">
              <a16:creationId xmlns:a16="http://schemas.microsoft.com/office/drawing/2014/main" id="{B4E75657-2886-4847-BC79-26FD42E94B0B}"/>
            </a:ext>
          </a:extLst>
        </xdr:cNvPr>
        <xdr:cNvSpPr>
          <a:spLocks noChangeShapeType="1"/>
        </xdr:cNvSpPr>
      </xdr:nvSpPr>
      <xdr:spPr bwMode="auto">
        <a:xfrm>
          <a:off x="6286500" y="778192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39</xdr:row>
      <xdr:rowOff>104775</xdr:rowOff>
    </xdr:from>
    <xdr:to>
      <xdr:col>11</xdr:col>
      <xdr:colOff>466725</xdr:colOff>
      <xdr:row>40</xdr:row>
      <xdr:rowOff>171450</xdr:rowOff>
    </xdr:to>
    <xdr:sp macro="" textlink="">
      <xdr:nvSpPr>
        <xdr:cNvPr id="85090" name="Line 98">
          <a:extLst>
            <a:ext uri="{FF2B5EF4-FFF2-40B4-BE49-F238E27FC236}">
              <a16:creationId xmlns:a16="http://schemas.microsoft.com/office/drawing/2014/main" id="{D1B26081-CFD7-4A91-BE47-147156342C04}"/>
            </a:ext>
          </a:extLst>
        </xdr:cNvPr>
        <xdr:cNvSpPr>
          <a:spLocks noChangeShapeType="1"/>
        </xdr:cNvSpPr>
      </xdr:nvSpPr>
      <xdr:spPr bwMode="auto">
        <a:xfrm>
          <a:off x="7172325" y="7534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40</xdr:row>
      <xdr:rowOff>161925</xdr:rowOff>
    </xdr:from>
    <xdr:to>
      <xdr:col>11</xdr:col>
      <xdr:colOff>466725</xdr:colOff>
      <xdr:row>42</xdr:row>
      <xdr:rowOff>38100</xdr:rowOff>
    </xdr:to>
    <xdr:sp macro="" textlink="">
      <xdr:nvSpPr>
        <xdr:cNvPr id="85089" name="Rectangle 97">
          <a:extLst>
            <a:ext uri="{FF2B5EF4-FFF2-40B4-BE49-F238E27FC236}">
              <a16:creationId xmlns:a16="http://schemas.microsoft.com/office/drawing/2014/main" id="{8951F219-8E2F-4C26-85AA-4E75D1D220C7}"/>
            </a:ext>
          </a:extLst>
        </xdr:cNvPr>
        <xdr:cNvSpPr>
          <a:spLocks noChangeArrowheads="1"/>
        </xdr:cNvSpPr>
      </xdr:nvSpPr>
      <xdr:spPr bwMode="auto">
        <a:xfrm>
          <a:off x="381000" y="7781925"/>
          <a:ext cx="6791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40</xdr:row>
      <xdr:rowOff>161925</xdr:rowOff>
    </xdr:from>
    <xdr:to>
      <xdr:col>4</xdr:col>
      <xdr:colOff>381000</xdr:colOff>
      <xdr:row>42</xdr:row>
      <xdr:rowOff>38100</xdr:rowOff>
    </xdr:to>
    <xdr:sp macro="" textlink="">
      <xdr:nvSpPr>
        <xdr:cNvPr id="85088" name="Rectangle 96">
          <a:extLst>
            <a:ext uri="{FF2B5EF4-FFF2-40B4-BE49-F238E27FC236}">
              <a16:creationId xmlns:a16="http://schemas.microsoft.com/office/drawing/2014/main" id="{4B9E6E39-28EB-4F54-8D85-8182A0CF0778}"/>
            </a:ext>
          </a:extLst>
        </xdr:cNvPr>
        <xdr:cNvSpPr>
          <a:spLocks noChangeArrowheads="1"/>
        </xdr:cNvSpPr>
      </xdr:nvSpPr>
      <xdr:spPr bwMode="auto">
        <a:xfrm>
          <a:off x="381000" y="7781925"/>
          <a:ext cx="2438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Koszty utworzenia stanowiska pracy dla osób skierowanych do spółdzielni socjalnej</a:t>
          </a:r>
        </a:p>
      </xdr:txBody>
    </xdr:sp>
    <xdr:clientData/>
  </xdr:twoCellAnchor>
  <xdr:twoCellAnchor>
    <xdr:from>
      <xdr:col>0</xdr:col>
      <xdr:colOff>381000</xdr:colOff>
      <xdr:row>40</xdr:row>
      <xdr:rowOff>161925</xdr:rowOff>
    </xdr:from>
    <xdr:to>
      <xdr:col>0</xdr:col>
      <xdr:colOff>381000</xdr:colOff>
      <xdr:row>42</xdr:row>
      <xdr:rowOff>38100</xdr:rowOff>
    </xdr:to>
    <xdr:sp macro="" textlink="">
      <xdr:nvSpPr>
        <xdr:cNvPr id="85087" name="Line 95">
          <a:extLst>
            <a:ext uri="{FF2B5EF4-FFF2-40B4-BE49-F238E27FC236}">
              <a16:creationId xmlns:a16="http://schemas.microsoft.com/office/drawing/2014/main" id="{BADFAD3D-377A-4558-9B3E-A5F8B0F39277}"/>
            </a:ext>
          </a:extLst>
        </xdr:cNvPr>
        <xdr:cNvSpPr>
          <a:spLocks noChangeShapeType="1"/>
        </xdr:cNvSpPr>
      </xdr:nvSpPr>
      <xdr:spPr bwMode="auto">
        <a:xfrm>
          <a:off x="381000" y="7781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42</xdr:row>
      <xdr:rowOff>38100</xdr:rowOff>
    </xdr:from>
    <xdr:to>
      <xdr:col>4</xdr:col>
      <xdr:colOff>381000</xdr:colOff>
      <xdr:row>42</xdr:row>
      <xdr:rowOff>38100</xdr:rowOff>
    </xdr:to>
    <xdr:sp macro="" textlink="">
      <xdr:nvSpPr>
        <xdr:cNvPr id="85086" name="Line 94">
          <a:extLst>
            <a:ext uri="{FF2B5EF4-FFF2-40B4-BE49-F238E27FC236}">
              <a16:creationId xmlns:a16="http://schemas.microsoft.com/office/drawing/2014/main" id="{33A1577B-BE98-4D5F-88AC-681E7510383C}"/>
            </a:ext>
          </a:extLst>
        </xdr:cNvPr>
        <xdr:cNvSpPr>
          <a:spLocks noChangeShapeType="1"/>
        </xdr:cNvSpPr>
      </xdr:nvSpPr>
      <xdr:spPr bwMode="auto">
        <a:xfrm>
          <a:off x="381000" y="8039100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40</xdr:row>
      <xdr:rowOff>161925</xdr:rowOff>
    </xdr:from>
    <xdr:to>
      <xdr:col>4</xdr:col>
      <xdr:colOff>381000</xdr:colOff>
      <xdr:row>42</xdr:row>
      <xdr:rowOff>38100</xdr:rowOff>
    </xdr:to>
    <xdr:sp macro="" textlink="">
      <xdr:nvSpPr>
        <xdr:cNvPr id="85085" name="Line 93">
          <a:extLst>
            <a:ext uri="{FF2B5EF4-FFF2-40B4-BE49-F238E27FC236}">
              <a16:creationId xmlns:a16="http://schemas.microsoft.com/office/drawing/2014/main" id="{AC12CA46-D988-4413-AFA9-C6EABCDFE9AE}"/>
            </a:ext>
          </a:extLst>
        </xdr:cNvPr>
        <xdr:cNvSpPr>
          <a:spLocks noChangeShapeType="1"/>
        </xdr:cNvSpPr>
      </xdr:nvSpPr>
      <xdr:spPr bwMode="auto">
        <a:xfrm>
          <a:off x="2819400" y="7781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40</xdr:row>
      <xdr:rowOff>161925</xdr:rowOff>
    </xdr:from>
    <xdr:to>
      <xdr:col>5</xdr:col>
      <xdr:colOff>180975</xdr:colOff>
      <xdr:row>42</xdr:row>
      <xdr:rowOff>38100</xdr:rowOff>
    </xdr:to>
    <xdr:sp macro="" textlink="">
      <xdr:nvSpPr>
        <xdr:cNvPr id="85084" name="Rectangle 92">
          <a:extLst>
            <a:ext uri="{FF2B5EF4-FFF2-40B4-BE49-F238E27FC236}">
              <a16:creationId xmlns:a16="http://schemas.microsoft.com/office/drawing/2014/main" id="{8FA96684-06F1-4F0B-9AD8-C18815512EEE}"/>
            </a:ext>
          </a:extLst>
        </xdr:cNvPr>
        <xdr:cNvSpPr>
          <a:spLocks noChangeArrowheads="1"/>
        </xdr:cNvSpPr>
      </xdr:nvSpPr>
      <xdr:spPr bwMode="auto">
        <a:xfrm>
          <a:off x="2819400" y="7781925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6350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381000</xdr:colOff>
      <xdr:row>42</xdr:row>
      <xdr:rowOff>38100</xdr:rowOff>
    </xdr:from>
    <xdr:to>
      <xdr:col>5</xdr:col>
      <xdr:colOff>180975</xdr:colOff>
      <xdr:row>42</xdr:row>
      <xdr:rowOff>38100</xdr:rowOff>
    </xdr:to>
    <xdr:sp macro="" textlink="">
      <xdr:nvSpPr>
        <xdr:cNvPr id="85083" name="Line 91">
          <a:extLst>
            <a:ext uri="{FF2B5EF4-FFF2-40B4-BE49-F238E27FC236}">
              <a16:creationId xmlns:a16="http://schemas.microsoft.com/office/drawing/2014/main" id="{1F5BF644-6E1B-4C3A-B22D-FFC5826005CC}"/>
            </a:ext>
          </a:extLst>
        </xdr:cNvPr>
        <xdr:cNvSpPr>
          <a:spLocks noChangeShapeType="1"/>
        </xdr:cNvSpPr>
      </xdr:nvSpPr>
      <xdr:spPr bwMode="auto">
        <a:xfrm>
          <a:off x="2819400" y="8039100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40</xdr:row>
      <xdr:rowOff>161925</xdr:rowOff>
    </xdr:from>
    <xdr:to>
      <xdr:col>5</xdr:col>
      <xdr:colOff>180975</xdr:colOff>
      <xdr:row>42</xdr:row>
      <xdr:rowOff>38100</xdr:rowOff>
    </xdr:to>
    <xdr:sp macro="" textlink="">
      <xdr:nvSpPr>
        <xdr:cNvPr id="85082" name="Line 90">
          <a:extLst>
            <a:ext uri="{FF2B5EF4-FFF2-40B4-BE49-F238E27FC236}">
              <a16:creationId xmlns:a16="http://schemas.microsoft.com/office/drawing/2014/main" id="{FF1F2D6D-900F-4DAA-B730-EF08F63D98A9}"/>
            </a:ext>
          </a:extLst>
        </xdr:cNvPr>
        <xdr:cNvSpPr>
          <a:spLocks noChangeShapeType="1"/>
        </xdr:cNvSpPr>
      </xdr:nvSpPr>
      <xdr:spPr bwMode="auto">
        <a:xfrm>
          <a:off x="3228975" y="7781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42</xdr:row>
      <xdr:rowOff>38100</xdr:rowOff>
    </xdr:from>
    <xdr:to>
      <xdr:col>7</xdr:col>
      <xdr:colOff>257175</xdr:colOff>
      <xdr:row>42</xdr:row>
      <xdr:rowOff>38100</xdr:rowOff>
    </xdr:to>
    <xdr:sp macro="" textlink="">
      <xdr:nvSpPr>
        <xdr:cNvPr id="85080" name="Line 88">
          <a:extLst>
            <a:ext uri="{FF2B5EF4-FFF2-40B4-BE49-F238E27FC236}">
              <a16:creationId xmlns:a16="http://schemas.microsoft.com/office/drawing/2014/main" id="{A597F33C-B8A7-49B6-B074-6E19158C48A7}"/>
            </a:ext>
          </a:extLst>
        </xdr:cNvPr>
        <xdr:cNvSpPr>
          <a:spLocks noChangeShapeType="1"/>
        </xdr:cNvSpPr>
      </xdr:nvSpPr>
      <xdr:spPr bwMode="auto">
        <a:xfrm>
          <a:off x="3228975" y="8039100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40</xdr:row>
      <xdr:rowOff>161925</xdr:rowOff>
    </xdr:from>
    <xdr:to>
      <xdr:col>7</xdr:col>
      <xdr:colOff>257175</xdr:colOff>
      <xdr:row>42</xdr:row>
      <xdr:rowOff>38100</xdr:rowOff>
    </xdr:to>
    <xdr:sp macro="" textlink="">
      <xdr:nvSpPr>
        <xdr:cNvPr id="85079" name="Line 87">
          <a:extLst>
            <a:ext uri="{FF2B5EF4-FFF2-40B4-BE49-F238E27FC236}">
              <a16:creationId xmlns:a16="http://schemas.microsoft.com/office/drawing/2014/main" id="{998DCE89-96C1-4680-A479-53C5BC5FFA5A}"/>
            </a:ext>
          </a:extLst>
        </xdr:cNvPr>
        <xdr:cNvSpPr>
          <a:spLocks noChangeShapeType="1"/>
        </xdr:cNvSpPr>
      </xdr:nvSpPr>
      <xdr:spPr bwMode="auto">
        <a:xfrm>
          <a:off x="4524375" y="7781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42</xdr:row>
      <xdr:rowOff>38100</xdr:rowOff>
    </xdr:from>
    <xdr:to>
      <xdr:col>8</xdr:col>
      <xdr:colOff>523875</xdr:colOff>
      <xdr:row>42</xdr:row>
      <xdr:rowOff>38100</xdr:rowOff>
    </xdr:to>
    <xdr:sp macro="" textlink="">
      <xdr:nvSpPr>
        <xdr:cNvPr id="85077" name="Line 85">
          <a:extLst>
            <a:ext uri="{FF2B5EF4-FFF2-40B4-BE49-F238E27FC236}">
              <a16:creationId xmlns:a16="http://schemas.microsoft.com/office/drawing/2014/main" id="{15FF7C92-4CFC-4740-9535-FD191C0E126E}"/>
            </a:ext>
          </a:extLst>
        </xdr:cNvPr>
        <xdr:cNvSpPr>
          <a:spLocks noChangeShapeType="1"/>
        </xdr:cNvSpPr>
      </xdr:nvSpPr>
      <xdr:spPr bwMode="auto">
        <a:xfrm>
          <a:off x="4524375" y="8039100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40</xdr:row>
      <xdr:rowOff>161925</xdr:rowOff>
    </xdr:from>
    <xdr:to>
      <xdr:col>8</xdr:col>
      <xdr:colOff>523875</xdr:colOff>
      <xdr:row>42</xdr:row>
      <xdr:rowOff>38100</xdr:rowOff>
    </xdr:to>
    <xdr:sp macro="" textlink="">
      <xdr:nvSpPr>
        <xdr:cNvPr id="85076" name="Line 84">
          <a:extLst>
            <a:ext uri="{FF2B5EF4-FFF2-40B4-BE49-F238E27FC236}">
              <a16:creationId xmlns:a16="http://schemas.microsoft.com/office/drawing/2014/main" id="{6CC510F8-BA30-4C8F-A104-1F94BB89A39A}"/>
            </a:ext>
          </a:extLst>
        </xdr:cNvPr>
        <xdr:cNvSpPr>
          <a:spLocks noChangeShapeType="1"/>
        </xdr:cNvSpPr>
      </xdr:nvSpPr>
      <xdr:spPr bwMode="auto">
        <a:xfrm>
          <a:off x="5400675" y="7781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42</xdr:row>
      <xdr:rowOff>38100</xdr:rowOff>
    </xdr:from>
    <xdr:to>
      <xdr:col>10</xdr:col>
      <xdr:colOff>190500</xdr:colOff>
      <xdr:row>42</xdr:row>
      <xdr:rowOff>38100</xdr:rowOff>
    </xdr:to>
    <xdr:sp macro="" textlink="">
      <xdr:nvSpPr>
        <xdr:cNvPr id="85074" name="Line 82">
          <a:extLst>
            <a:ext uri="{FF2B5EF4-FFF2-40B4-BE49-F238E27FC236}">
              <a16:creationId xmlns:a16="http://schemas.microsoft.com/office/drawing/2014/main" id="{E337BF2B-2233-443E-AFD2-D21D1037F197}"/>
            </a:ext>
          </a:extLst>
        </xdr:cNvPr>
        <xdr:cNvSpPr>
          <a:spLocks noChangeShapeType="1"/>
        </xdr:cNvSpPr>
      </xdr:nvSpPr>
      <xdr:spPr bwMode="auto">
        <a:xfrm>
          <a:off x="5400675" y="8039100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40</xdr:row>
      <xdr:rowOff>161925</xdr:rowOff>
    </xdr:from>
    <xdr:to>
      <xdr:col>10</xdr:col>
      <xdr:colOff>190500</xdr:colOff>
      <xdr:row>42</xdr:row>
      <xdr:rowOff>38100</xdr:rowOff>
    </xdr:to>
    <xdr:sp macro="" textlink="">
      <xdr:nvSpPr>
        <xdr:cNvPr id="85073" name="Line 81">
          <a:extLst>
            <a:ext uri="{FF2B5EF4-FFF2-40B4-BE49-F238E27FC236}">
              <a16:creationId xmlns:a16="http://schemas.microsoft.com/office/drawing/2014/main" id="{4536D485-5A7D-42F5-AE44-20E54F6F06DF}"/>
            </a:ext>
          </a:extLst>
        </xdr:cNvPr>
        <xdr:cNvSpPr>
          <a:spLocks noChangeShapeType="1"/>
        </xdr:cNvSpPr>
      </xdr:nvSpPr>
      <xdr:spPr bwMode="auto">
        <a:xfrm>
          <a:off x="6286500" y="7781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42</xdr:row>
      <xdr:rowOff>38100</xdr:rowOff>
    </xdr:from>
    <xdr:to>
      <xdr:col>11</xdr:col>
      <xdr:colOff>476250</xdr:colOff>
      <xdr:row>42</xdr:row>
      <xdr:rowOff>38100</xdr:rowOff>
    </xdr:to>
    <xdr:sp macro="" textlink="">
      <xdr:nvSpPr>
        <xdr:cNvPr id="85071" name="Line 79">
          <a:extLst>
            <a:ext uri="{FF2B5EF4-FFF2-40B4-BE49-F238E27FC236}">
              <a16:creationId xmlns:a16="http://schemas.microsoft.com/office/drawing/2014/main" id="{2DD237E1-B8D1-49AF-9A1F-1BBBE8FF98F2}"/>
            </a:ext>
          </a:extLst>
        </xdr:cNvPr>
        <xdr:cNvSpPr>
          <a:spLocks noChangeShapeType="1"/>
        </xdr:cNvSpPr>
      </xdr:nvSpPr>
      <xdr:spPr bwMode="auto">
        <a:xfrm>
          <a:off x="6286500" y="8039100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40</xdr:row>
      <xdr:rowOff>161925</xdr:rowOff>
    </xdr:from>
    <xdr:to>
      <xdr:col>11</xdr:col>
      <xdr:colOff>466725</xdr:colOff>
      <xdr:row>42</xdr:row>
      <xdr:rowOff>38100</xdr:rowOff>
    </xdr:to>
    <xdr:sp macro="" textlink="">
      <xdr:nvSpPr>
        <xdr:cNvPr id="85070" name="Line 78">
          <a:extLst>
            <a:ext uri="{FF2B5EF4-FFF2-40B4-BE49-F238E27FC236}">
              <a16:creationId xmlns:a16="http://schemas.microsoft.com/office/drawing/2014/main" id="{23D3768A-2387-4486-AEBF-3C8C4626353A}"/>
            </a:ext>
          </a:extLst>
        </xdr:cNvPr>
        <xdr:cNvSpPr>
          <a:spLocks noChangeShapeType="1"/>
        </xdr:cNvSpPr>
      </xdr:nvSpPr>
      <xdr:spPr bwMode="auto">
        <a:xfrm>
          <a:off x="7172325" y="7781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42</xdr:row>
      <xdr:rowOff>38100</xdr:rowOff>
    </xdr:from>
    <xdr:to>
      <xdr:col>11</xdr:col>
      <xdr:colOff>466725</xdr:colOff>
      <xdr:row>43</xdr:row>
      <xdr:rowOff>104775</xdr:rowOff>
    </xdr:to>
    <xdr:sp macro="" textlink="">
      <xdr:nvSpPr>
        <xdr:cNvPr id="85069" name="Rectangle 77">
          <a:extLst>
            <a:ext uri="{FF2B5EF4-FFF2-40B4-BE49-F238E27FC236}">
              <a16:creationId xmlns:a16="http://schemas.microsoft.com/office/drawing/2014/main" id="{99C8A596-E9BC-40E9-87C3-2EC772E22911}"/>
            </a:ext>
          </a:extLst>
        </xdr:cNvPr>
        <xdr:cNvSpPr>
          <a:spLocks noChangeArrowheads="1"/>
        </xdr:cNvSpPr>
      </xdr:nvSpPr>
      <xdr:spPr bwMode="auto">
        <a:xfrm>
          <a:off x="381000" y="8039100"/>
          <a:ext cx="6791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42</xdr:row>
      <xdr:rowOff>38100</xdr:rowOff>
    </xdr:from>
    <xdr:to>
      <xdr:col>4</xdr:col>
      <xdr:colOff>381000</xdr:colOff>
      <xdr:row>43</xdr:row>
      <xdr:rowOff>104775</xdr:rowOff>
    </xdr:to>
    <xdr:sp macro="" textlink="">
      <xdr:nvSpPr>
        <xdr:cNvPr id="85068" name="Rectangle 76">
          <a:extLst>
            <a:ext uri="{FF2B5EF4-FFF2-40B4-BE49-F238E27FC236}">
              <a16:creationId xmlns:a16="http://schemas.microsoft.com/office/drawing/2014/main" id="{3D247878-9290-429C-8F76-D01E93ADA825}"/>
            </a:ext>
          </a:extLst>
        </xdr:cNvPr>
        <xdr:cNvSpPr>
          <a:spLocks noChangeArrowheads="1"/>
        </xdr:cNvSpPr>
      </xdr:nvSpPr>
      <xdr:spPr bwMode="auto">
        <a:xfrm>
          <a:off x="381000" y="8039100"/>
          <a:ext cx="2438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Koszty utworzenia stanowiska pracy dla przedsiębiorstw społecznych</a:t>
          </a:r>
        </a:p>
      </xdr:txBody>
    </xdr:sp>
    <xdr:clientData/>
  </xdr:twoCellAnchor>
  <xdr:twoCellAnchor>
    <xdr:from>
      <xdr:col>0</xdr:col>
      <xdr:colOff>381000</xdr:colOff>
      <xdr:row>42</xdr:row>
      <xdr:rowOff>38100</xdr:rowOff>
    </xdr:from>
    <xdr:to>
      <xdr:col>0</xdr:col>
      <xdr:colOff>381000</xdr:colOff>
      <xdr:row>43</xdr:row>
      <xdr:rowOff>104775</xdr:rowOff>
    </xdr:to>
    <xdr:sp macro="" textlink="">
      <xdr:nvSpPr>
        <xdr:cNvPr id="85067" name="Line 75">
          <a:extLst>
            <a:ext uri="{FF2B5EF4-FFF2-40B4-BE49-F238E27FC236}">
              <a16:creationId xmlns:a16="http://schemas.microsoft.com/office/drawing/2014/main" id="{6BFAAFF4-66A1-42D1-9D5B-6799B77C1F9F}"/>
            </a:ext>
          </a:extLst>
        </xdr:cNvPr>
        <xdr:cNvSpPr>
          <a:spLocks noChangeShapeType="1"/>
        </xdr:cNvSpPr>
      </xdr:nvSpPr>
      <xdr:spPr bwMode="auto">
        <a:xfrm>
          <a:off x="381000" y="8039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43</xdr:row>
      <xdr:rowOff>104775</xdr:rowOff>
    </xdr:from>
    <xdr:to>
      <xdr:col>4</xdr:col>
      <xdr:colOff>381000</xdr:colOff>
      <xdr:row>43</xdr:row>
      <xdr:rowOff>104775</xdr:rowOff>
    </xdr:to>
    <xdr:sp macro="" textlink="">
      <xdr:nvSpPr>
        <xdr:cNvPr id="85066" name="Line 74">
          <a:extLst>
            <a:ext uri="{FF2B5EF4-FFF2-40B4-BE49-F238E27FC236}">
              <a16:creationId xmlns:a16="http://schemas.microsoft.com/office/drawing/2014/main" id="{1A3E3BBC-2E0B-4059-AE0C-8A0E25501D94}"/>
            </a:ext>
          </a:extLst>
        </xdr:cNvPr>
        <xdr:cNvSpPr>
          <a:spLocks noChangeShapeType="1"/>
        </xdr:cNvSpPr>
      </xdr:nvSpPr>
      <xdr:spPr bwMode="auto">
        <a:xfrm>
          <a:off x="381000" y="829627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42</xdr:row>
      <xdr:rowOff>38100</xdr:rowOff>
    </xdr:from>
    <xdr:to>
      <xdr:col>4</xdr:col>
      <xdr:colOff>381000</xdr:colOff>
      <xdr:row>43</xdr:row>
      <xdr:rowOff>104775</xdr:rowOff>
    </xdr:to>
    <xdr:sp macro="" textlink="">
      <xdr:nvSpPr>
        <xdr:cNvPr id="85065" name="Line 73">
          <a:extLst>
            <a:ext uri="{FF2B5EF4-FFF2-40B4-BE49-F238E27FC236}">
              <a16:creationId xmlns:a16="http://schemas.microsoft.com/office/drawing/2014/main" id="{E9B7C2A9-F322-46B5-9D34-096C72E75F9B}"/>
            </a:ext>
          </a:extLst>
        </xdr:cNvPr>
        <xdr:cNvSpPr>
          <a:spLocks noChangeShapeType="1"/>
        </xdr:cNvSpPr>
      </xdr:nvSpPr>
      <xdr:spPr bwMode="auto">
        <a:xfrm>
          <a:off x="2819400" y="8039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42</xdr:row>
      <xdr:rowOff>38100</xdr:rowOff>
    </xdr:from>
    <xdr:to>
      <xdr:col>5</xdr:col>
      <xdr:colOff>180975</xdr:colOff>
      <xdr:row>43</xdr:row>
      <xdr:rowOff>104775</xdr:rowOff>
    </xdr:to>
    <xdr:sp macro="" textlink="">
      <xdr:nvSpPr>
        <xdr:cNvPr id="85064" name="Rectangle 72">
          <a:extLst>
            <a:ext uri="{FF2B5EF4-FFF2-40B4-BE49-F238E27FC236}">
              <a16:creationId xmlns:a16="http://schemas.microsoft.com/office/drawing/2014/main" id="{B3574045-58CB-49AA-B077-2DEE467B63CC}"/>
            </a:ext>
          </a:extLst>
        </xdr:cNvPr>
        <xdr:cNvSpPr>
          <a:spLocks noChangeArrowheads="1"/>
        </xdr:cNvSpPr>
      </xdr:nvSpPr>
      <xdr:spPr bwMode="auto">
        <a:xfrm>
          <a:off x="2819400" y="8039100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6350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4</xdr:col>
      <xdr:colOff>381000</xdr:colOff>
      <xdr:row>43</xdr:row>
      <xdr:rowOff>104775</xdr:rowOff>
    </xdr:from>
    <xdr:to>
      <xdr:col>5</xdr:col>
      <xdr:colOff>180975</xdr:colOff>
      <xdr:row>43</xdr:row>
      <xdr:rowOff>104775</xdr:rowOff>
    </xdr:to>
    <xdr:sp macro="" textlink="">
      <xdr:nvSpPr>
        <xdr:cNvPr id="85063" name="Line 71">
          <a:extLst>
            <a:ext uri="{FF2B5EF4-FFF2-40B4-BE49-F238E27FC236}">
              <a16:creationId xmlns:a16="http://schemas.microsoft.com/office/drawing/2014/main" id="{7374F5D9-DA4C-46F8-90E0-7A95E124E9BA}"/>
            </a:ext>
          </a:extLst>
        </xdr:cNvPr>
        <xdr:cNvSpPr>
          <a:spLocks noChangeShapeType="1"/>
        </xdr:cNvSpPr>
      </xdr:nvSpPr>
      <xdr:spPr bwMode="auto">
        <a:xfrm>
          <a:off x="2819400" y="829627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42</xdr:row>
      <xdr:rowOff>38100</xdr:rowOff>
    </xdr:from>
    <xdr:to>
      <xdr:col>5</xdr:col>
      <xdr:colOff>180975</xdr:colOff>
      <xdr:row>43</xdr:row>
      <xdr:rowOff>104775</xdr:rowOff>
    </xdr:to>
    <xdr:sp macro="" textlink="">
      <xdr:nvSpPr>
        <xdr:cNvPr id="85062" name="Line 70">
          <a:extLst>
            <a:ext uri="{FF2B5EF4-FFF2-40B4-BE49-F238E27FC236}">
              <a16:creationId xmlns:a16="http://schemas.microsoft.com/office/drawing/2014/main" id="{5D287D3F-D0FB-4A12-8909-AB1C9ED57DB1}"/>
            </a:ext>
          </a:extLst>
        </xdr:cNvPr>
        <xdr:cNvSpPr>
          <a:spLocks noChangeShapeType="1"/>
        </xdr:cNvSpPr>
      </xdr:nvSpPr>
      <xdr:spPr bwMode="auto">
        <a:xfrm>
          <a:off x="3228975" y="8039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43</xdr:row>
      <xdr:rowOff>104775</xdr:rowOff>
    </xdr:from>
    <xdr:to>
      <xdr:col>7</xdr:col>
      <xdr:colOff>257175</xdr:colOff>
      <xdr:row>43</xdr:row>
      <xdr:rowOff>104775</xdr:rowOff>
    </xdr:to>
    <xdr:sp macro="" textlink="">
      <xdr:nvSpPr>
        <xdr:cNvPr id="85060" name="Line 68">
          <a:extLst>
            <a:ext uri="{FF2B5EF4-FFF2-40B4-BE49-F238E27FC236}">
              <a16:creationId xmlns:a16="http://schemas.microsoft.com/office/drawing/2014/main" id="{B6F4F7FA-DA97-4572-BD8C-66A375A4B51D}"/>
            </a:ext>
          </a:extLst>
        </xdr:cNvPr>
        <xdr:cNvSpPr>
          <a:spLocks noChangeShapeType="1"/>
        </xdr:cNvSpPr>
      </xdr:nvSpPr>
      <xdr:spPr bwMode="auto">
        <a:xfrm>
          <a:off x="3228975" y="829627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42</xdr:row>
      <xdr:rowOff>38100</xdr:rowOff>
    </xdr:from>
    <xdr:to>
      <xdr:col>7</xdr:col>
      <xdr:colOff>257175</xdr:colOff>
      <xdr:row>43</xdr:row>
      <xdr:rowOff>104775</xdr:rowOff>
    </xdr:to>
    <xdr:sp macro="" textlink="">
      <xdr:nvSpPr>
        <xdr:cNvPr id="85059" name="Line 67">
          <a:extLst>
            <a:ext uri="{FF2B5EF4-FFF2-40B4-BE49-F238E27FC236}">
              <a16:creationId xmlns:a16="http://schemas.microsoft.com/office/drawing/2014/main" id="{018958F6-F521-4C19-AD69-513E95A7EE17}"/>
            </a:ext>
          </a:extLst>
        </xdr:cNvPr>
        <xdr:cNvSpPr>
          <a:spLocks noChangeShapeType="1"/>
        </xdr:cNvSpPr>
      </xdr:nvSpPr>
      <xdr:spPr bwMode="auto">
        <a:xfrm>
          <a:off x="4524375" y="8039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43</xdr:row>
      <xdr:rowOff>104775</xdr:rowOff>
    </xdr:from>
    <xdr:to>
      <xdr:col>8</xdr:col>
      <xdr:colOff>523875</xdr:colOff>
      <xdr:row>43</xdr:row>
      <xdr:rowOff>104775</xdr:rowOff>
    </xdr:to>
    <xdr:sp macro="" textlink="">
      <xdr:nvSpPr>
        <xdr:cNvPr id="85057" name="Line 65">
          <a:extLst>
            <a:ext uri="{FF2B5EF4-FFF2-40B4-BE49-F238E27FC236}">
              <a16:creationId xmlns:a16="http://schemas.microsoft.com/office/drawing/2014/main" id="{D6EC2F42-3EED-4639-A874-F9F485E28EAF}"/>
            </a:ext>
          </a:extLst>
        </xdr:cNvPr>
        <xdr:cNvSpPr>
          <a:spLocks noChangeShapeType="1"/>
        </xdr:cNvSpPr>
      </xdr:nvSpPr>
      <xdr:spPr bwMode="auto">
        <a:xfrm>
          <a:off x="4524375" y="829627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42</xdr:row>
      <xdr:rowOff>38100</xdr:rowOff>
    </xdr:from>
    <xdr:to>
      <xdr:col>8</xdr:col>
      <xdr:colOff>523875</xdr:colOff>
      <xdr:row>43</xdr:row>
      <xdr:rowOff>104775</xdr:rowOff>
    </xdr:to>
    <xdr:sp macro="" textlink="">
      <xdr:nvSpPr>
        <xdr:cNvPr id="85056" name="Line 64">
          <a:extLst>
            <a:ext uri="{FF2B5EF4-FFF2-40B4-BE49-F238E27FC236}">
              <a16:creationId xmlns:a16="http://schemas.microsoft.com/office/drawing/2014/main" id="{BC3383ED-BA0B-43D0-AC0F-7AC82140A7CA}"/>
            </a:ext>
          </a:extLst>
        </xdr:cNvPr>
        <xdr:cNvSpPr>
          <a:spLocks noChangeShapeType="1"/>
        </xdr:cNvSpPr>
      </xdr:nvSpPr>
      <xdr:spPr bwMode="auto">
        <a:xfrm>
          <a:off x="5400675" y="8039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43</xdr:row>
      <xdr:rowOff>104775</xdr:rowOff>
    </xdr:from>
    <xdr:to>
      <xdr:col>10</xdr:col>
      <xdr:colOff>190500</xdr:colOff>
      <xdr:row>43</xdr:row>
      <xdr:rowOff>104775</xdr:rowOff>
    </xdr:to>
    <xdr:sp macro="" textlink="">
      <xdr:nvSpPr>
        <xdr:cNvPr id="85054" name="Line 62">
          <a:extLst>
            <a:ext uri="{FF2B5EF4-FFF2-40B4-BE49-F238E27FC236}">
              <a16:creationId xmlns:a16="http://schemas.microsoft.com/office/drawing/2014/main" id="{0C69E69B-ACF9-4453-8836-585C46A9B96E}"/>
            </a:ext>
          </a:extLst>
        </xdr:cNvPr>
        <xdr:cNvSpPr>
          <a:spLocks noChangeShapeType="1"/>
        </xdr:cNvSpPr>
      </xdr:nvSpPr>
      <xdr:spPr bwMode="auto">
        <a:xfrm>
          <a:off x="5400675" y="829627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42</xdr:row>
      <xdr:rowOff>38100</xdr:rowOff>
    </xdr:from>
    <xdr:to>
      <xdr:col>10</xdr:col>
      <xdr:colOff>190500</xdr:colOff>
      <xdr:row>43</xdr:row>
      <xdr:rowOff>104775</xdr:rowOff>
    </xdr:to>
    <xdr:sp macro="" textlink="">
      <xdr:nvSpPr>
        <xdr:cNvPr id="85053" name="Line 61">
          <a:extLst>
            <a:ext uri="{FF2B5EF4-FFF2-40B4-BE49-F238E27FC236}">
              <a16:creationId xmlns:a16="http://schemas.microsoft.com/office/drawing/2014/main" id="{F813D311-5DFC-4B7F-BE34-7E5733F2FAF0}"/>
            </a:ext>
          </a:extLst>
        </xdr:cNvPr>
        <xdr:cNvSpPr>
          <a:spLocks noChangeShapeType="1"/>
        </xdr:cNvSpPr>
      </xdr:nvSpPr>
      <xdr:spPr bwMode="auto">
        <a:xfrm>
          <a:off x="6286500" y="8039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43</xdr:row>
      <xdr:rowOff>104775</xdr:rowOff>
    </xdr:from>
    <xdr:to>
      <xdr:col>11</xdr:col>
      <xdr:colOff>476250</xdr:colOff>
      <xdr:row>43</xdr:row>
      <xdr:rowOff>104775</xdr:rowOff>
    </xdr:to>
    <xdr:sp macro="" textlink="">
      <xdr:nvSpPr>
        <xdr:cNvPr id="85051" name="Line 59">
          <a:extLst>
            <a:ext uri="{FF2B5EF4-FFF2-40B4-BE49-F238E27FC236}">
              <a16:creationId xmlns:a16="http://schemas.microsoft.com/office/drawing/2014/main" id="{E563AC3C-DD12-4B89-B5FA-0A1627C0E0AB}"/>
            </a:ext>
          </a:extLst>
        </xdr:cNvPr>
        <xdr:cNvSpPr>
          <a:spLocks noChangeShapeType="1"/>
        </xdr:cNvSpPr>
      </xdr:nvSpPr>
      <xdr:spPr bwMode="auto">
        <a:xfrm>
          <a:off x="6286500" y="829627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42</xdr:row>
      <xdr:rowOff>38100</xdr:rowOff>
    </xdr:from>
    <xdr:to>
      <xdr:col>11</xdr:col>
      <xdr:colOff>466725</xdr:colOff>
      <xdr:row>43</xdr:row>
      <xdr:rowOff>104775</xdr:rowOff>
    </xdr:to>
    <xdr:sp macro="" textlink="">
      <xdr:nvSpPr>
        <xdr:cNvPr id="85050" name="Line 58">
          <a:extLst>
            <a:ext uri="{FF2B5EF4-FFF2-40B4-BE49-F238E27FC236}">
              <a16:creationId xmlns:a16="http://schemas.microsoft.com/office/drawing/2014/main" id="{4DCCEDF1-9CAA-4F85-892E-F0F5C831D6A3}"/>
            </a:ext>
          </a:extLst>
        </xdr:cNvPr>
        <xdr:cNvSpPr>
          <a:spLocks noChangeShapeType="1"/>
        </xdr:cNvSpPr>
      </xdr:nvSpPr>
      <xdr:spPr bwMode="auto">
        <a:xfrm>
          <a:off x="7172325" y="8039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43</xdr:row>
      <xdr:rowOff>104775</xdr:rowOff>
    </xdr:from>
    <xdr:to>
      <xdr:col>11</xdr:col>
      <xdr:colOff>466725</xdr:colOff>
      <xdr:row>44</xdr:row>
      <xdr:rowOff>38100</xdr:rowOff>
    </xdr:to>
    <xdr:sp macro="" textlink="">
      <xdr:nvSpPr>
        <xdr:cNvPr id="85049" name="Rectangle 57">
          <a:extLst>
            <a:ext uri="{FF2B5EF4-FFF2-40B4-BE49-F238E27FC236}">
              <a16:creationId xmlns:a16="http://schemas.microsoft.com/office/drawing/2014/main" id="{2E4CDE69-8408-4602-86D7-A2CB95AE6D85}"/>
            </a:ext>
          </a:extLst>
        </xdr:cNvPr>
        <xdr:cNvSpPr>
          <a:spLocks noChangeArrowheads="1"/>
        </xdr:cNvSpPr>
      </xdr:nvSpPr>
      <xdr:spPr bwMode="auto">
        <a:xfrm>
          <a:off x="381000" y="8296275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43</xdr:row>
      <xdr:rowOff>104775</xdr:rowOff>
    </xdr:from>
    <xdr:to>
      <xdr:col>4</xdr:col>
      <xdr:colOff>381000</xdr:colOff>
      <xdr:row>44</xdr:row>
      <xdr:rowOff>38100</xdr:rowOff>
    </xdr:to>
    <xdr:sp macro="" textlink="">
      <xdr:nvSpPr>
        <xdr:cNvPr id="85048" name="Rectangle 56">
          <a:extLst>
            <a:ext uri="{FF2B5EF4-FFF2-40B4-BE49-F238E27FC236}">
              <a16:creationId xmlns:a16="http://schemas.microsoft.com/office/drawing/2014/main" id="{82946316-C205-456E-9A37-86ED5E60A670}"/>
            </a:ext>
          </a:extLst>
        </xdr:cNvPr>
        <xdr:cNvSpPr>
          <a:spLocks noChangeArrowheads="1"/>
        </xdr:cNvSpPr>
      </xdr:nvSpPr>
      <xdr:spPr bwMode="auto">
        <a:xfrm>
          <a:off x="381000" y="8296275"/>
          <a:ext cx="2438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Suma kontrolna (wiersze od 01 do 30)</a:t>
          </a:r>
        </a:p>
      </xdr:txBody>
    </xdr:sp>
    <xdr:clientData/>
  </xdr:twoCellAnchor>
  <xdr:twoCellAnchor>
    <xdr:from>
      <xdr:col>0</xdr:col>
      <xdr:colOff>381000</xdr:colOff>
      <xdr:row>43</xdr:row>
      <xdr:rowOff>104775</xdr:rowOff>
    </xdr:from>
    <xdr:to>
      <xdr:col>0</xdr:col>
      <xdr:colOff>381000</xdr:colOff>
      <xdr:row>44</xdr:row>
      <xdr:rowOff>38100</xdr:rowOff>
    </xdr:to>
    <xdr:sp macro="" textlink="">
      <xdr:nvSpPr>
        <xdr:cNvPr id="85047" name="Line 55">
          <a:extLst>
            <a:ext uri="{FF2B5EF4-FFF2-40B4-BE49-F238E27FC236}">
              <a16:creationId xmlns:a16="http://schemas.microsoft.com/office/drawing/2014/main" id="{AA030F2C-63F2-4722-BD8A-88A4BDAA08EE}"/>
            </a:ext>
          </a:extLst>
        </xdr:cNvPr>
        <xdr:cNvSpPr>
          <a:spLocks noChangeShapeType="1"/>
        </xdr:cNvSpPr>
      </xdr:nvSpPr>
      <xdr:spPr bwMode="auto">
        <a:xfrm>
          <a:off x="381000" y="8296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44</xdr:row>
      <xdr:rowOff>38100</xdr:rowOff>
    </xdr:from>
    <xdr:to>
      <xdr:col>4</xdr:col>
      <xdr:colOff>381000</xdr:colOff>
      <xdr:row>44</xdr:row>
      <xdr:rowOff>38100</xdr:rowOff>
    </xdr:to>
    <xdr:sp macro="" textlink="">
      <xdr:nvSpPr>
        <xdr:cNvPr id="85046" name="Line 54">
          <a:extLst>
            <a:ext uri="{FF2B5EF4-FFF2-40B4-BE49-F238E27FC236}">
              <a16:creationId xmlns:a16="http://schemas.microsoft.com/office/drawing/2014/main" id="{C40756B1-D953-4578-B801-EF57B404349C}"/>
            </a:ext>
          </a:extLst>
        </xdr:cNvPr>
        <xdr:cNvSpPr>
          <a:spLocks noChangeShapeType="1"/>
        </xdr:cNvSpPr>
      </xdr:nvSpPr>
      <xdr:spPr bwMode="auto">
        <a:xfrm>
          <a:off x="381000" y="8420100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43</xdr:row>
      <xdr:rowOff>104775</xdr:rowOff>
    </xdr:from>
    <xdr:to>
      <xdr:col>4</xdr:col>
      <xdr:colOff>381000</xdr:colOff>
      <xdr:row>44</xdr:row>
      <xdr:rowOff>38100</xdr:rowOff>
    </xdr:to>
    <xdr:sp macro="" textlink="">
      <xdr:nvSpPr>
        <xdr:cNvPr id="85045" name="Line 53">
          <a:extLst>
            <a:ext uri="{FF2B5EF4-FFF2-40B4-BE49-F238E27FC236}">
              <a16:creationId xmlns:a16="http://schemas.microsoft.com/office/drawing/2014/main" id="{B134BB87-94CC-40D6-B489-BD59AEA32F87}"/>
            </a:ext>
          </a:extLst>
        </xdr:cNvPr>
        <xdr:cNvSpPr>
          <a:spLocks noChangeShapeType="1"/>
        </xdr:cNvSpPr>
      </xdr:nvSpPr>
      <xdr:spPr bwMode="auto">
        <a:xfrm>
          <a:off x="2819400" y="8296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43</xdr:row>
      <xdr:rowOff>104775</xdr:rowOff>
    </xdr:from>
    <xdr:to>
      <xdr:col>5</xdr:col>
      <xdr:colOff>180975</xdr:colOff>
      <xdr:row>44</xdr:row>
      <xdr:rowOff>38100</xdr:rowOff>
    </xdr:to>
    <xdr:sp macro="" textlink="">
      <xdr:nvSpPr>
        <xdr:cNvPr id="85044" name="Rectangle 52">
          <a:extLst>
            <a:ext uri="{FF2B5EF4-FFF2-40B4-BE49-F238E27FC236}">
              <a16:creationId xmlns:a16="http://schemas.microsoft.com/office/drawing/2014/main" id="{5273CA06-9CC4-4A65-95B2-44E0FC2E5B6F}"/>
            </a:ext>
          </a:extLst>
        </xdr:cNvPr>
        <xdr:cNvSpPr>
          <a:spLocks noChangeArrowheads="1"/>
        </xdr:cNvSpPr>
      </xdr:nvSpPr>
      <xdr:spPr bwMode="auto">
        <a:xfrm>
          <a:off x="2819400" y="8296275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4</xdr:col>
      <xdr:colOff>381000</xdr:colOff>
      <xdr:row>44</xdr:row>
      <xdr:rowOff>38100</xdr:rowOff>
    </xdr:from>
    <xdr:to>
      <xdr:col>5</xdr:col>
      <xdr:colOff>180975</xdr:colOff>
      <xdr:row>44</xdr:row>
      <xdr:rowOff>38100</xdr:rowOff>
    </xdr:to>
    <xdr:sp macro="" textlink="">
      <xdr:nvSpPr>
        <xdr:cNvPr id="85043" name="Line 51">
          <a:extLst>
            <a:ext uri="{FF2B5EF4-FFF2-40B4-BE49-F238E27FC236}">
              <a16:creationId xmlns:a16="http://schemas.microsoft.com/office/drawing/2014/main" id="{1F210C81-74A8-4DAA-9F3D-BCD12CA26398}"/>
            </a:ext>
          </a:extLst>
        </xdr:cNvPr>
        <xdr:cNvSpPr>
          <a:spLocks noChangeShapeType="1"/>
        </xdr:cNvSpPr>
      </xdr:nvSpPr>
      <xdr:spPr bwMode="auto">
        <a:xfrm>
          <a:off x="2819400" y="8420100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43</xdr:row>
      <xdr:rowOff>104775</xdr:rowOff>
    </xdr:from>
    <xdr:to>
      <xdr:col>5</xdr:col>
      <xdr:colOff>180975</xdr:colOff>
      <xdr:row>44</xdr:row>
      <xdr:rowOff>38100</xdr:rowOff>
    </xdr:to>
    <xdr:sp macro="" textlink="">
      <xdr:nvSpPr>
        <xdr:cNvPr id="85042" name="Line 50">
          <a:extLst>
            <a:ext uri="{FF2B5EF4-FFF2-40B4-BE49-F238E27FC236}">
              <a16:creationId xmlns:a16="http://schemas.microsoft.com/office/drawing/2014/main" id="{6AE6B6F1-A930-4929-BE04-9D1742C4DD93}"/>
            </a:ext>
          </a:extLst>
        </xdr:cNvPr>
        <xdr:cNvSpPr>
          <a:spLocks noChangeShapeType="1"/>
        </xdr:cNvSpPr>
      </xdr:nvSpPr>
      <xdr:spPr bwMode="auto">
        <a:xfrm>
          <a:off x="3228975" y="8296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44</xdr:row>
      <xdr:rowOff>38100</xdr:rowOff>
    </xdr:from>
    <xdr:to>
      <xdr:col>7</xdr:col>
      <xdr:colOff>257175</xdr:colOff>
      <xdr:row>44</xdr:row>
      <xdr:rowOff>38100</xdr:rowOff>
    </xdr:to>
    <xdr:sp macro="" textlink="">
      <xdr:nvSpPr>
        <xdr:cNvPr id="85040" name="Line 48">
          <a:extLst>
            <a:ext uri="{FF2B5EF4-FFF2-40B4-BE49-F238E27FC236}">
              <a16:creationId xmlns:a16="http://schemas.microsoft.com/office/drawing/2014/main" id="{AA767A2E-16BA-4B6B-B5FB-2E2220F1B897}"/>
            </a:ext>
          </a:extLst>
        </xdr:cNvPr>
        <xdr:cNvSpPr>
          <a:spLocks noChangeShapeType="1"/>
        </xdr:cNvSpPr>
      </xdr:nvSpPr>
      <xdr:spPr bwMode="auto">
        <a:xfrm>
          <a:off x="3228975" y="8420100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43</xdr:row>
      <xdr:rowOff>104775</xdr:rowOff>
    </xdr:from>
    <xdr:to>
      <xdr:col>7</xdr:col>
      <xdr:colOff>257175</xdr:colOff>
      <xdr:row>44</xdr:row>
      <xdr:rowOff>38100</xdr:rowOff>
    </xdr:to>
    <xdr:sp macro="" textlink="">
      <xdr:nvSpPr>
        <xdr:cNvPr id="85039" name="Line 47">
          <a:extLst>
            <a:ext uri="{FF2B5EF4-FFF2-40B4-BE49-F238E27FC236}">
              <a16:creationId xmlns:a16="http://schemas.microsoft.com/office/drawing/2014/main" id="{7ABC13DE-5CAF-44CD-8FE4-AE54BD3B4CEE}"/>
            </a:ext>
          </a:extLst>
        </xdr:cNvPr>
        <xdr:cNvSpPr>
          <a:spLocks noChangeShapeType="1"/>
        </xdr:cNvSpPr>
      </xdr:nvSpPr>
      <xdr:spPr bwMode="auto">
        <a:xfrm>
          <a:off x="4524375" y="8296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44</xdr:row>
      <xdr:rowOff>38100</xdr:rowOff>
    </xdr:from>
    <xdr:to>
      <xdr:col>8</xdr:col>
      <xdr:colOff>523875</xdr:colOff>
      <xdr:row>44</xdr:row>
      <xdr:rowOff>38100</xdr:rowOff>
    </xdr:to>
    <xdr:sp macro="" textlink="">
      <xdr:nvSpPr>
        <xdr:cNvPr id="85037" name="Line 45">
          <a:extLst>
            <a:ext uri="{FF2B5EF4-FFF2-40B4-BE49-F238E27FC236}">
              <a16:creationId xmlns:a16="http://schemas.microsoft.com/office/drawing/2014/main" id="{1107E9AC-949A-419D-8EA3-D1C5EBC1926F}"/>
            </a:ext>
          </a:extLst>
        </xdr:cNvPr>
        <xdr:cNvSpPr>
          <a:spLocks noChangeShapeType="1"/>
        </xdr:cNvSpPr>
      </xdr:nvSpPr>
      <xdr:spPr bwMode="auto">
        <a:xfrm>
          <a:off x="4524375" y="8420100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43</xdr:row>
      <xdr:rowOff>104775</xdr:rowOff>
    </xdr:from>
    <xdr:to>
      <xdr:col>8</xdr:col>
      <xdr:colOff>523875</xdr:colOff>
      <xdr:row>44</xdr:row>
      <xdr:rowOff>38100</xdr:rowOff>
    </xdr:to>
    <xdr:sp macro="" textlink="">
      <xdr:nvSpPr>
        <xdr:cNvPr id="85036" name="Line 44">
          <a:extLst>
            <a:ext uri="{FF2B5EF4-FFF2-40B4-BE49-F238E27FC236}">
              <a16:creationId xmlns:a16="http://schemas.microsoft.com/office/drawing/2014/main" id="{BE8F1123-C1CD-489D-85CA-4CB031871BFA}"/>
            </a:ext>
          </a:extLst>
        </xdr:cNvPr>
        <xdr:cNvSpPr>
          <a:spLocks noChangeShapeType="1"/>
        </xdr:cNvSpPr>
      </xdr:nvSpPr>
      <xdr:spPr bwMode="auto">
        <a:xfrm>
          <a:off x="5400675" y="8296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44</xdr:row>
      <xdr:rowOff>38100</xdr:rowOff>
    </xdr:from>
    <xdr:to>
      <xdr:col>10</xdr:col>
      <xdr:colOff>190500</xdr:colOff>
      <xdr:row>44</xdr:row>
      <xdr:rowOff>38100</xdr:rowOff>
    </xdr:to>
    <xdr:sp macro="" textlink="">
      <xdr:nvSpPr>
        <xdr:cNvPr id="85034" name="Line 42">
          <a:extLst>
            <a:ext uri="{FF2B5EF4-FFF2-40B4-BE49-F238E27FC236}">
              <a16:creationId xmlns:a16="http://schemas.microsoft.com/office/drawing/2014/main" id="{3FC321FE-5E9C-434E-8AF9-389F0DF9ED55}"/>
            </a:ext>
          </a:extLst>
        </xdr:cNvPr>
        <xdr:cNvSpPr>
          <a:spLocks noChangeShapeType="1"/>
        </xdr:cNvSpPr>
      </xdr:nvSpPr>
      <xdr:spPr bwMode="auto">
        <a:xfrm>
          <a:off x="5400675" y="8420100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43</xdr:row>
      <xdr:rowOff>104775</xdr:rowOff>
    </xdr:from>
    <xdr:to>
      <xdr:col>10</xdr:col>
      <xdr:colOff>190500</xdr:colOff>
      <xdr:row>44</xdr:row>
      <xdr:rowOff>38100</xdr:rowOff>
    </xdr:to>
    <xdr:sp macro="" textlink="">
      <xdr:nvSpPr>
        <xdr:cNvPr id="85033" name="Line 41">
          <a:extLst>
            <a:ext uri="{FF2B5EF4-FFF2-40B4-BE49-F238E27FC236}">
              <a16:creationId xmlns:a16="http://schemas.microsoft.com/office/drawing/2014/main" id="{DB994025-D977-4991-AA4D-CBBE365A0C44}"/>
            </a:ext>
          </a:extLst>
        </xdr:cNvPr>
        <xdr:cNvSpPr>
          <a:spLocks noChangeShapeType="1"/>
        </xdr:cNvSpPr>
      </xdr:nvSpPr>
      <xdr:spPr bwMode="auto">
        <a:xfrm>
          <a:off x="6286500" y="8296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44</xdr:row>
      <xdr:rowOff>38100</xdr:rowOff>
    </xdr:from>
    <xdr:to>
      <xdr:col>11</xdr:col>
      <xdr:colOff>476250</xdr:colOff>
      <xdr:row>44</xdr:row>
      <xdr:rowOff>38100</xdr:rowOff>
    </xdr:to>
    <xdr:sp macro="" textlink="">
      <xdr:nvSpPr>
        <xdr:cNvPr id="85031" name="Line 39">
          <a:extLst>
            <a:ext uri="{FF2B5EF4-FFF2-40B4-BE49-F238E27FC236}">
              <a16:creationId xmlns:a16="http://schemas.microsoft.com/office/drawing/2014/main" id="{48ADE31A-2D37-4683-9055-8D5ED5A473AB}"/>
            </a:ext>
          </a:extLst>
        </xdr:cNvPr>
        <xdr:cNvSpPr>
          <a:spLocks noChangeShapeType="1"/>
        </xdr:cNvSpPr>
      </xdr:nvSpPr>
      <xdr:spPr bwMode="auto">
        <a:xfrm>
          <a:off x="6286500" y="8420100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43</xdr:row>
      <xdr:rowOff>104775</xdr:rowOff>
    </xdr:from>
    <xdr:to>
      <xdr:col>11</xdr:col>
      <xdr:colOff>466725</xdr:colOff>
      <xdr:row>44</xdr:row>
      <xdr:rowOff>38100</xdr:rowOff>
    </xdr:to>
    <xdr:sp macro="" textlink="">
      <xdr:nvSpPr>
        <xdr:cNvPr id="85030" name="Line 38">
          <a:extLst>
            <a:ext uri="{FF2B5EF4-FFF2-40B4-BE49-F238E27FC236}">
              <a16:creationId xmlns:a16="http://schemas.microsoft.com/office/drawing/2014/main" id="{4DA4D529-AF3C-4814-9A9B-42945ABA231C}"/>
            </a:ext>
          </a:extLst>
        </xdr:cNvPr>
        <xdr:cNvSpPr>
          <a:spLocks noChangeShapeType="1"/>
        </xdr:cNvSpPr>
      </xdr:nvSpPr>
      <xdr:spPr bwMode="auto">
        <a:xfrm>
          <a:off x="7172325" y="8296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44</xdr:row>
      <xdr:rowOff>38100</xdr:rowOff>
    </xdr:from>
    <xdr:to>
      <xdr:col>11</xdr:col>
      <xdr:colOff>466725</xdr:colOff>
      <xdr:row>44</xdr:row>
      <xdr:rowOff>47625</xdr:rowOff>
    </xdr:to>
    <xdr:sp macro="" textlink="">
      <xdr:nvSpPr>
        <xdr:cNvPr id="85029" name="Rectangle 37">
          <a:extLst>
            <a:ext uri="{FF2B5EF4-FFF2-40B4-BE49-F238E27FC236}">
              <a16:creationId xmlns:a16="http://schemas.microsoft.com/office/drawing/2014/main" id="{735A9B86-C507-4407-8387-3E73B23705DF}"/>
            </a:ext>
          </a:extLst>
        </xdr:cNvPr>
        <xdr:cNvSpPr>
          <a:spLocks noChangeArrowheads="1"/>
        </xdr:cNvSpPr>
      </xdr:nvSpPr>
      <xdr:spPr bwMode="auto">
        <a:xfrm>
          <a:off x="381000" y="8420100"/>
          <a:ext cx="6791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Sansserif"/>
            </a:rPr>
            <a:t> </a:t>
          </a:r>
        </a:p>
      </xdr:txBody>
    </xdr:sp>
    <xdr:clientData/>
  </xdr:twoCellAnchor>
  <xdr:twoCellAnchor>
    <xdr:from>
      <xdr:col>0</xdr:col>
      <xdr:colOff>381000</xdr:colOff>
      <xdr:row>44</xdr:row>
      <xdr:rowOff>38100</xdr:rowOff>
    </xdr:from>
    <xdr:to>
      <xdr:col>11</xdr:col>
      <xdr:colOff>466725</xdr:colOff>
      <xdr:row>44</xdr:row>
      <xdr:rowOff>38100</xdr:rowOff>
    </xdr:to>
    <xdr:sp macro="" textlink="">
      <xdr:nvSpPr>
        <xdr:cNvPr id="85028" name="Line 36">
          <a:extLst>
            <a:ext uri="{FF2B5EF4-FFF2-40B4-BE49-F238E27FC236}">
              <a16:creationId xmlns:a16="http://schemas.microsoft.com/office/drawing/2014/main" id="{44AFF870-6B67-4BD2-A8CE-88B30785115A}"/>
            </a:ext>
          </a:extLst>
        </xdr:cNvPr>
        <xdr:cNvSpPr>
          <a:spLocks noChangeShapeType="1"/>
        </xdr:cNvSpPr>
      </xdr:nvSpPr>
      <xdr:spPr bwMode="auto">
        <a:xfrm>
          <a:off x="381000" y="8420100"/>
          <a:ext cx="67913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44</xdr:row>
      <xdr:rowOff>47625</xdr:rowOff>
    </xdr:from>
    <xdr:to>
      <xdr:col>11</xdr:col>
      <xdr:colOff>466725</xdr:colOff>
      <xdr:row>45</xdr:row>
      <xdr:rowOff>0</xdr:rowOff>
    </xdr:to>
    <xdr:sp macro="" textlink="">
      <xdr:nvSpPr>
        <xdr:cNvPr id="85027" name="Rectangle 35">
          <a:extLst>
            <a:ext uri="{FF2B5EF4-FFF2-40B4-BE49-F238E27FC236}">
              <a16:creationId xmlns:a16="http://schemas.microsoft.com/office/drawing/2014/main" id="{F4B0999D-28D5-45BD-8C19-6712F12382E7}"/>
            </a:ext>
          </a:extLst>
        </xdr:cNvPr>
        <xdr:cNvSpPr>
          <a:spLocks noChangeArrowheads="1"/>
        </xdr:cNvSpPr>
      </xdr:nvSpPr>
      <xdr:spPr bwMode="auto">
        <a:xfrm>
          <a:off x="381000" y="8429625"/>
          <a:ext cx="6791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a) Do dwóch miejsc po przecinku (grosze). </a:t>
          </a:r>
        </a:p>
        <a:p>
          <a:pPr algn="l" rtl="0"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b) W wierszach rubryki 2, 3, 4 należy ujmować tylko raz osoby, za które dokonano wydatku w roku, niezależnie od liczby miesięcy. </a:t>
          </a:r>
        </a:p>
      </xdr:txBody>
    </xdr:sp>
    <xdr:clientData/>
  </xdr:twoCellAnchor>
  <xdr:twoCellAnchor>
    <xdr:from>
      <xdr:col>0</xdr:col>
      <xdr:colOff>381000</xdr:colOff>
      <xdr:row>45</xdr:row>
      <xdr:rowOff>0</xdr:rowOff>
    </xdr:from>
    <xdr:to>
      <xdr:col>11</xdr:col>
      <xdr:colOff>466725</xdr:colOff>
      <xdr:row>45</xdr:row>
      <xdr:rowOff>152400</xdr:rowOff>
    </xdr:to>
    <xdr:sp macro="" textlink="">
      <xdr:nvSpPr>
        <xdr:cNvPr id="85026" name="Rectangle 34">
          <a:extLst>
            <a:ext uri="{FF2B5EF4-FFF2-40B4-BE49-F238E27FC236}">
              <a16:creationId xmlns:a16="http://schemas.microsoft.com/office/drawing/2014/main" id="{A30E709A-2718-48E6-9B54-E1BBB337101A}"/>
            </a:ext>
          </a:extLst>
        </xdr:cNvPr>
        <xdr:cNvSpPr>
          <a:spLocks noChangeArrowheads="1"/>
        </xdr:cNvSpPr>
      </xdr:nvSpPr>
      <xdr:spPr bwMode="auto">
        <a:xfrm>
          <a:off x="381000" y="8658225"/>
          <a:ext cx="6791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  <a:p>
          <a:pPr algn="l" rtl="0">
            <a:defRPr sz="1000"/>
          </a:pPr>
          <a:endParaRPr lang="pl-P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l-P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381000</xdr:colOff>
      <xdr:row>45</xdr:row>
      <xdr:rowOff>152400</xdr:rowOff>
    </xdr:from>
    <xdr:to>
      <xdr:col>11</xdr:col>
      <xdr:colOff>466725</xdr:colOff>
      <xdr:row>49</xdr:row>
      <xdr:rowOff>76200</xdr:rowOff>
    </xdr:to>
    <xdr:sp macro="" textlink="">
      <xdr:nvSpPr>
        <xdr:cNvPr id="85025" name="Rectangle 33">
          <a:extLst>
            <a:ext uri="{FF2B5EF4-FFF2-40B4-BE49-F238E27FC236}">
              <a16:creationId xmlns:a16="http://schemas.microsoft.com/office/drawing/2014/main" id="{F4DFEF03-7FE9-42E3-BB80-010A142E779B}"/>
            </a:ext>
          </a:extLst>
        </xdr:cNvPr>
        <xdr:cNvSpPr>
          <a:spLocks noChangeArrowheads="1"/>
        </xdr:cNvSpPr>
      </xdr:nvSpPr>
      <xdr:spPr bwMode="auto">
        <a:xfrm>
          <a:off x="381000" y="8915400"/>
          <a:ext cx="67913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45</xdr:row>
      <xdr:rowOff>152400</xdr:rowOff>
    </xdr:from>
    <xdr:to>
      <xdr:col>11</xdr:col>
      <xdr:colOff>466725</xdr:colOff>
      <xdr:row>46</xdr:row>
      <xdr:rowOff>85725</xdr:rowOff>
    </xdr:to>
    <xdr:sp macro="" textlink="">
      <xdr:nvSpPr>
        <xdr:cNvPr id="85024" name="Rectangle 32">
          <a:extLst>
            <a:ext uri="{FF2B5EF4-FFF2-40B4-BE49-F238E27FC236}">
              <a16:creationId xmlns:a16="http://schemas.microsoft.com/office/drawing/2014/main" id="{B0D8D98D-25D9-41FC-9AD9-30727985E97F}"/>
            </a:ext>
          </a:extLst>
        </xdr:cNvPr>
        <xdr:cNvSpPr>
          <a:spLocks noChangeArrowheads="1"/>
        </xdr:cNvSpPr>
      </xdr:nvSpPr>
      <xdr:spPr bwMode="auto">
        <a:xfrm>
          <a:off x="381000" y="8915400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45</xdr:row>
      <xdr:rowOff>152400</xdr:rowOff>
    </xdr:from>
    <xdr:to>
      <xdr:col>8</xdr:col>
      <xdr:colOff>47625</xdr:colOff>
      <xdr:row>46</xdr:row>
      <xdr:rowOff>85725</xdr:rowOff>
    </xdr:to>
    <xdr:sp macro="" textlink="">
      <xdr:nvSpPr>
        <xdr:cNvPr id="85023" name="Rectangle 31">
          <a:extLst>
            <a:ext uri="{FF2B5EF4-FFF2-40B4-BE49-F238E27FC236}">
              <a16:creationId xmlns:a16="http://schemas.microsoft.com/office/drawing/2014/main" id="{629A01C6-0B12-4654-B550-924317A83902}"/>
            </a:ext>
          </a:extLst>
        </xdr:cNvPr>
        <xdr:cNvSpPr>
          <a:spLocks noChangeArrowheads="1"/>
        </xdr:cNvSpPr>
      </xdr:nvSpPr>
      <xdr:spPr bwMode="auto">
        <a:xfrm>
          <a:off x="381000" y="8915400"/>
          <a:ext cx="45434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Czas na przygotowanie danych do wypełnienia formularza (w min)</a:t>
          </a:r>
        </a:p>
      </xdr:txBody>
    </xdr:sp>
    <xdr:clientData/>
  </xdr:twoCellAnchor>
  <xdr:twoCellAnchor>
    <xdr:from>
      <xdr:col>0</xdr:col>
      <xdr:colOff>381000</xdr:colOff>
      <xdr:row>45</xdr:row>
      <xdr:rowOff>152400</xdr:rowOff>
    </xdr:from>
    <xdr:to>
      <xdr:col>8</xdr:col>
      <xdr:colOff>57150</xdr:colOff>
      <xdr:row>45</xdr:row>
      <xdr:rowOff>152400</xdr:rowOff>
    </xdr:to>
    <xdr:sp macro="" textlink="">
      <xdr:nvSpPr>
        <xdr:cNvPr id="85022" name="Line 30">
          <a:extLst>
            <a:ext uri="{FF2B5EF4-FFF2-40B4-BE49-F238E27FC236}">
              <a16:creationId xmlns:a16="http://schemas.microsoft.com/office/drawing/2014/main" id="{24EF922C-100A-4CEB-BB0A-3E7FCDEB65F0}"/>
            </a:ext>
          </a:extLst>
        </xdr:cNvPr>
        <xdr:cNvSpPr>
          <a:spLocks noChangeShapeType="1"/>
        </xdr:cNvSpPr>
      </xdr:nvSpPr>
      <xdr:spPr bwMode="auto">
        <a:xfrm>
          <a:off x="381000" y="8915400"/>
          <a:ext cx="45529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45</xdr:row>
      <xdr:rowOff>152400</xdr:rowOff>
    </xdr:from>
    <xdr:to>
      <xdr:col>0</xdr:col>
      <xdr:colOff>381000</xdr:colOff>
      <xdr:row>46</xdr:row>
      <xdr:rowOff>95250</xdr:rowOff>
    </xdr:to>
    <xdr:sp macro="" textlink="">
      <xdr:nvSpPr>
        <xdr:cNvPr id="85021" name="Line 29">
          <a:extLst>
            <a:ext uri="{FF2B5EF4-FFF2-40B4-BE49-F238E27FC236}">
              <a16:creationId xmlns:a16="http://schemas.microsoft.com/office/drawing/2014/main" id="{AA8C18E2-CD6B-4562-9833-28ADB5DDC445}"/>
            </a:ext>
          </a:extLst>
        </xdr:cNvPr>
        <xdr:cNvSpPr>
          <a:spLocks noChangeShapeType="1"/>
        </xdr:cNvSpPr>
      </xdr:nvSpPr>
      <xdr:spPr bwMode="auto">
        <a:xfrm>
          <a:off x="381000" y="89154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46</xdr:row>
      <xdr:rowOff>85725</xdr:rowOff>
    </xdr:from>
    <xdr:to>
      <xdr:col>8</xdr:col>
      <xdr:colOff>57150</xdr:colOff>
      <xdr:row>46</xdr:row>
      <xdr:rowOff>85725</xdr:rowOff>
    </xdr:to>
    <xdr:sp macro="" textlink="">
      <xdr:nvSpPr>
        <xdr:cNvPr id="85020" name="Line 28">
          <a:extLst>
            <a:ext uri="{FF2B5EF4-FFF2-40B4-BE49-F238E27FC236}">
              <a16:creationId xmlns:a16="http://schemas.microsoft.com/office/drawing/2014/main" id="{C6C12415-3272-42E7-AA7A-14F1D6959BAF}"/>
            </a:ext>
          </a:extLst>
        </xdr:cNvPr>
        <xdr:cNvSpPr>
          <a:spLocks noChangeShapeType="1"/>
        </xdr:cNvSpPr>
      </xdr:nvSpPr>
      <xdr:spPr bwMode="auto">
        <a:xfrm>
          <a:off x="381000" y="9039225"/>
          <a:ext cx="45529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45</xdr:row>
      <xdr:rowOff>152400</xdr:rowOff>
    </xdr:from>
    <xdr:to>
      <xdr:col>8</xdr:col>
      <xdr:colOff>47625</xdr:colOff>
      <xdr:row>46</xdr:row>
      <xdr:rowOff>95250</xdr:rowOff>
    </xdr:to>
    <xdr:sp macro="" textlink="">
      <xdr:nvSpPr>
        <xdr:cNvPr id="85019" name="Line 27">
          <a:extLst>
            <a:ext uri="{FF2B5EF4-FFF2-40B4-BE49-F238E27FC236}">
              <a16:creationId xmlns:a16="http://schemas.microsoft.com/office/drawing/2014/main" id="{0075DA43-3531-4BEB-97DE-EFA01DD86CA0}"/>
            </a:ext>
          </a:extLst>
        </xdr:cNvPr>
        <xdr:cNvSpPr>
          <a:spLocks noChangeShapeType="1"/>
        </xdr:cNvSpPr>
      </xdr:nvSpPr>
      <xdr:spPr bwMode="auto">
        <a:xfrm>
          <a:off x="4924425" y="89154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45</xdr:row>
      <xdr:rowOff>152400</xdr:rowOff>
    </xdr:from>
    <xdr:to>
      <xdr:col>11</xdr:col>
      <xdr:colOff>476250</xdr:colOff>
      <xdr:row>45</xdr:row>
      <xdr:rowOff>152400</xdr:rowOff>
    </xdr:to>
    <xdr:sp macro="" textlink="">
      <xdr:nvSpPr>
        <xdr:cNvPr id="85017" name="Line 25">
          <a:extLst>
            <a:ext uri="{FF2B5EF4-FFF2-40B4-BE49-F238E27FC236}">
              <a16:creationId xmlns:a16="http://schemas.microsoft.com/office/drawing/2014/main" id="{8FDD2B75-E0B1-4724-ACCC-A89EC0845734}"/>
            </a:ext>
          </a:extLst>
        </xdr:cNvPr>
        <xdr:cNvSpPr>
          <a:spLocks noChangeShapeType="1"/>
        </xdr:cNvSpPr>
      </xdr:nvSpPr>
      <xdr:spPr bwMode="auto">
        <a:xfrm>
          <a:off x="4924425" y="8915400"/>
          <a:ext cx="22574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46</xdr:row>
      <xdr:rowOff>85725</xdr:rowOff>
    </xdr:from>
    <xdr:to>
      <xdr:col>11</xdr:col>
      <xdr:colOff>476250</xdr:colOff>
      <xdr:row>46</xdr:row>
      <xdr:rowOff>85725</xdr:rowOff>
    </xdr:to>
    <xdr:sp macro="" textlink="">
      <xdr:nvSpPr>
        <xdr:cNvPr id="85016" name="Line 24">
          <a:extLst>
            <a:ext uri="{FF2B5EF4-FFF2-40B4-BE49-F238E27FC236}">
              <a16:creationId xmlns:a16="http://schemas.microsoft.com/office/drawing/2014/main" id="{8A86B6C1-842D-45F3-9799-C697700A1CAC}"/>
            </a:ext>
          </a:extLst>
        </xdr:cNvPr>
        <xdr:cNvSpPr>
          <a:spLocks noChangeShapeType="1"/>
        </xdr:cNvSpPr>
      </xdr:nvSpPr>
      <xdr:spPr bwMode="auto">
        <a:xfrm>
          <a:off x="4924425" y="9039225"/>
          <a:ext cx="22574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45</xdr:row>
      <xdr:rowOff>152400</xdr:rowOff>
    </xdr:from>
    <xdr:to>
      <xdr:col>11</xdr:col>
      <xdr:colOff>466725</xdr:colOff>
      <xdr:row>46</xdr:row>
      <xdr:rowOff>95250</xdr:rowOff>
    </xdr:to>
    <xdr:sp macro="" textlink="">
      <xdr:nvSpPr>
        <xdr:cNvPr id="85015" name="Line 23">
          <a:extLst>
            <a:ext uri="{FF2B5EF4-FFF2-40B4-BE49-F238E27FC236}">
              <a16:creationId xmlns:a16="http://schemas.microsoft.com/office/drawing/2014/main" id="{449D55F2-34FE-4008-ABCA-E47E752A25CF}"/>
            </a:ext>
          </a:extLst>
        </xdr:cNvPr>
        <xdr:cNvSpPr>
          <a:spLocks noChangeShapeType="1"/>
        </xdr:cNvSpPr>
      </xdr:nvSpPr>
      <xdr:spPr bwMode="auto">
        <a:xfrm>
          <a:off x="7172325" y="89154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46</xdr:row>
      <xdr:rowOff>85725</xdr:rowOff>
    </xdr:from>
    <xdr:to>
      <xdr:col>11</xdr:col>
      <xdr:colOff>466725</xdr:colOff>
      <xdr:row>47</xdr:row>
      <xdr:rowOff>19050</xdr:rowOff>
    </xdr:to>
    <xdr:sp macro="" textlink="">
      <xdr:nvSpPr>
        <xdr:cNvPr id="85014" name="Rectangle 22">
          <a:extLst>
            <a:ext uri="{FF2B5EF4-FFF2-40B4-BE49-F238E27FC236}">
              <a16:creationId xmlns:a16="http://schemas.microsoft.com/office/drawing/2014/main" id="{A7633410-A126-458A-AB2E-1B17BA536167}"/>
            </a:ext>
          </a:extLst>
        </xdr:cNvPr>
        <xdr:cNvSpPr>
          <a:spLocks noChangeArrowheads="1"/>
        </xdr:cNvSpPr>
      </xdr:nvSpPr>
      <xdr:spPr bwMode="auto">
        <a:xfrm>
          <a:off x="381000" y="9039225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46</xdr:row>
      <xdr:rowOff>85725</xdr:rowOff>
    </xdr:from>
    <xdr:to>
      <xdr:col>8</xdr:col>
      <xdr:colOff>47625</xdr:colOff>
      <xdr:row>47</xdr:row>
      <xdr:rowOff>19050</xdr:rowOff>
    </xdr:to>
    <xdr:sp macro="" textlink="">
      <xdr:nvSpPr>
        <xdr:cNvPr id="85013" name="Rectangle 21">
          <a:extLst>
            <a:ext uri="{FF2B5EF4-FFF2-40B4-BE49-F238E27FC236}">
              <a16:creationId xmlns:a16="http://schemas.microsoft.com/office/drawing/2014/main" id="{EAC7BCD7-9DC8-4F45-9DB3-D69E6565E424}"/>
            </a:ext>
          </a:extLst>
        </xdr:cNvPr>
        <xdr:cNvSpPr>
          <a:spLocks noChangeArrowheads="1"/>
        </xdr:cNvSpPr>
      </xdr:nvSpPr>
      <xdr:spPr bwMode="auto">
        <a:xfrm>
          <a:off x="381000" y="9039225"/>
          <a:ext cx="45434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Czas na wypełnienie formularza (w min)</a:t>
          </a:r>
        </a:p>
      </xdr:txBody>
    </xdr:sp>
    <xdr:clientData/>
  </xdr:twoCellAnchor>
  <xdr:twoCellAnchor>
    <xdr:from>
      <xdr:col>0</xdr:col>
      <xdr:colOff>381000</xdr:colOff>
      <xdr:row>46</xdr:row>
      <xdr:rowOff>85725</xdr:rowOff>
    </xdr:from>
    <xdr:to>
      <xdr:col>0</xdr:col>
      <xdr:colOff>381000</xdr:colOff>
      <xdr:row>47</xdr:row>
      <xdr:rowOff>28575</xdr:rowOff>
    </xdr:to>
    <xdr:sp macro="" textlink="">
      <xdr:nvSpPr>
        <xdr:cNvPr id="85012" name="Line 20">
          <a:extLst>
            <a:ext uri="{FF2B5EF4-FFF2-40B4-BE49-F238E27FC236}">
              <a16:creationId xmlns:a16="http://schemas.microsoft.com/office/drawing/2014/main" id="{E164867A-6FA3-41FB-8F75-FC17300D5564}"/>
            </a:ext>
          </a:extLst>
        </xdr:cNvPr>
        <xdr:cNvSpPr>
          <a:spLocks noChangeShapeType="1"/>
        </xdr:cNvSpPr>
      </xdr:nvSpPr>
      <xdr:spPr bwMode="auto">
        <a:xfrm>
          <a:off x="381000" y="90392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47</xdr:row>
      <xdr:rowOff>28575</xdr:rowOff>
    </xdr:from>
    <xdr:to>
      <xdr:col>8</xdr:col>
      <xdr:colOff>57150</xdr:colOff>
      <xdr:row>47</xdr:row>
      <xdr:rowOff>28575</xdr:rowOff>
    </xdr:to>
    <xdr:sp macro="" textlink="">
      <xdr:nvSpPr>
        <xdr:cNvPr id="85011" name="Line 19">
          <a:extLst>
            <a:ext uri="{FF2B5EF4-FFF2-40B4-BE49-F238E27FC236}">
              <a16:creationId xmlns:a16="http://schemas.microsoft.com/office/drawing/2014/main" id="{8191B5B3-938F-468E-A59E-2B25C1DE16FD}"/>
            </a:ext>
          </a:extLst>
        </xdr:cNvPr>
        <xdr:cNvSpPr>
          <a:spLocks noChangeShapeType="1"/>
        </xdr:cNvSpPr>
      </xdr:nvSpPr>
      <xdr:spPr bwMode="auto">
        <a:xfrm>
          <a:off x="381000" y="9172575"/>
          <a:ext cx="45529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46</xdr:row>
      <xdr:rowOff>85725</xdr:rowOff>
    </xdr:from>
    <xdr:to>
      <xdr:col>8</xdr:col>
      <xdr:colOff>47625</xdr:colOff>
      <xdr:row>47</xdr:row>
      <xdr:rowOff>28575</xdr:rowOff>
    </xdr:to>
    <xdr:sp macro="" textlink="">
      <xdr:nvSpPr>
        <xdr:cNvPr id="85010" name="Line 18">
          <a:extLst>
            <a:ext uri="{FF2B5EF4-FFF2-40B4-BE49-F238E27FC236}">
              <a16:creationId xmlns:a16="http://schemas.microsoft.com/office/drawing/2014/main" id="{F14F239F-C565-49F1-8F17-8290267A6DD4}"/>
            </a:ext>
          </a:extLst>
        </xdr:cNvPr>
        <xdr:cNvSpPr>
          <a:spLocks noChangeShapeType="1"/>
        </xdr:cNvSpPr>
      </xdr:nvSpPr>
      <xdr:spPr bwMode="auto">
        <a:xfrm>
          <a:off x="4924425" y="90392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47</xdr:row>
      <xdr:rowOff>28575</xdr:rowOff>
    </xdr:from>
    <xdr:to>
      <xdr:col>11</xdr:col>
      <xdr:colOff>476250</xdr:colOff>
      <xdr:row>47</xdr:row>
      <xdr:rowOff>28575</xdr:rowOff>
    </xdr:to>
    <xdr:sp macro="" textlink="">
      <xdr:nvSpPr>
        <xdr:cNvPr id="85008" name="Line 16">
          <a:extLst>
            <a:ext uri="{FF2B5EF4-FFF2-40B4-BE49-F238E27FC236}">
              <a16:creationId xmlns:a16="http://schemas.microsoft.com/office/drawing/2014/main" id="{BCB7B79E-156D-4C15-85FE-EC4893A85BFB}"/>
            </a:ext>
          </a:extLst>
        </xdr:cNvPr>
        <xdr:cNvSpPr>
          <a:spLocks noChangeShapeType="1"/>
        </xdr:cNvSpPr>
      </xdr:nvSpPr>
      <xdr:spPr bwMode="auto">
        <a:xfrm>
          <a:off x="4924425" y="9172575"/>
          <a:ext cx="22574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46</xdr:row>
      <xdr:rowOff>85725</xdr:rowOff>
    </xdr:from>
    <xdr:to>
      <xdr:col>11</xdr:col>
      <xdr:colOff>466725</xdr:colOff>
      <xdr:row>47</xdr:row>
      <xdr:rowOff>28575</xdr:rowOff>
    </xdr:to>
    <xdr:sp macro="" textlink="">
      <xdr:nvSpPr>
        <xdr:cNvPr id="85007" name="Line 15">
          <a:extLst>
            <a:ext uri="{FF2B5EF4-FFF2-40B4-BE49-F238E27FC236}">
              <a16:creationId xmlns:a16="http://schemas.microsoft.com/office/drawing/2014/main" id="{84F605B6-714C-4573-85B0-60E5F3F80BA9}"/>
            </a:ext>
          </a:extLst>
        </xdr:cNvPr>
        <xdr:cNvSpPr>
          <a:spLocks noChangeShapeType="1"/>
        </xdr:cNvSpPr>
      </xdr:nvSpPr>
      <xdr:spPr bwMode="auto">
        <a:xfrm>
          <a:off x="7172325" y="90392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47</xdr:row>
      <xdr:rowOff>28575</xdr:rowOff>
    </xdr:from>
    <xdr:to>
      <xdr:col>11</xdr:col>
      <xdr:colOff>466725</xdr:colOff>
      <xdr:row>48</xdr:row>
      <xdr:rowOff>0</xdr:rowOff>
    </xdr:to>
    <xdr:sp macro="" textlink="">
      <xdr:nvSpPr>
        <xdr:cNvPr id="85006" name="Rectangle 14">
          <a:extLst>
            <a:ext uri="{FF2B5EF4-FFF2-40B4-BE49-F238E27FC236}">
              <a16:creationId xmlns:a16="http://schemas.microsoft.com/office/drawing/2014/main" id="{D44DDBF7-AB32-48AC-AF5E-694572B5DBC9}"/>
            </a:ext>
          </a:extLst>
        </xdr:cNvPr>
        <xdr:cNvSpPr>
          <a:spLocks noChangeArrowheads="1"/>
        </xdr:cNvSpPr>
      </xdr:nvSpPr>
      <xdr:spPr bwMode="auto">
        <a:xfrm>
          <a:off x="381000" y="9172575"/>
          <a:ext cx="6791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47</xdr:row>
      <xdr:rowOff>28575</xdr:rowOff>
    </xdr:from>
    <xdr:to>
      <xdr:col>4</xdr:col>
      <xdr:colOff>238125</xdr:colOff>
      <xdr:row>48</xdr:row>
      <xdr:rowOff>0</xdr:rowOff>
    </xdr:to>
    <xdr:sp macro="" textlink="">
      <xdr:nvSpPr>
        <xdr:cNvPr id="85005" name="Rectangle 13">
          <a:extLst>
            <a:ext uri="{FF2B5EF4-FFF2-40B4-BE49-F238E27FC236}">
              <a16:creationId xmlns:a16="http://schemas.microsoft.com/office/drawing/2014/main" id="{11B3D5FD-F531-4DD7-8D2F-12E5AF76FC5F}"/>
            </a:ext>
          </a:extLst>
        </xdr:cNvPr>
        <xdr:cNvSpPr>
          <a:spLocks noChangeArrowheads="1"/>
        </xdr:cNvSpPr>
      </xdr:nvSpPr>
      <xdr:spPr bwMode="auto">
        <a:xfrm>
          <a:off x="381000" y="9172575"/>
          <a:ext cx="22955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</xdr:txBody>
    </xdr:sp>
    <xdr:clientData/>
  </xdr:twoCellAnchor>
  <xdr:twoCellAnchor>
    <xdr:from>
      <xdr:col>4</xdr:col>
      <xdr:colOff>238125</xdr:colOff>
      <xdr:row>47</xdr:row>
      <xdr:rowOff>28575</xdr:rowOff>
    </xdr:from>
    <xdr:to>
      <xdr:col>8</xdr:col>
      <xdr:colOff>47625</xdr:colOff>
      <xdr:row>48</xdr:row>
      <xdr:rowOff>0</xdr:rowOff>
    </xdr:to>
    <xdr:sp macro="" textlink="">
      <xdr:nvSpPr>
        <xdr:cNvPr id="85004" name="Rectangle 12">
          <a:extLst>
            <a:ext uri="{FF2B5EF4-FFF2-40B4-BE49-F238E27FC236}">
              <a16:creationId xmlns:a16="http://schemas.microsoft.com/office/drawing/2014/main" id="{7915EE57-FCCC-4991-9D77-6639373E56B6}"/>
            </a:ext>
          </a:extLst>
        </xdr:cNvPr>
        <xdr:cNvSpPr>
          <a:spLocks noChangeArrowheads="1"/>
        </xdr:cNvSpPr>
      </xdr:nvSpPr>
      <xdr:spPr bwMode="auto">
        <a:xfrm>
          <a:off x="2676525" y="9172575"/>
          <a:ext cx="22479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Sansserif"/>
            </a:rPr>
            <a:t> </a:t>
          </a:r>
        </a:p>
      </xdr:txBody>
    </xdr:sp>
    <xdr:clientData/>
  </xdr:twoCellAnchor>
  <xdr:twoCellAnchor>
    <xdr:from>
      <xdr:col>8</xdr:col>
      <xdr:colOff>47625</xdr:colOff>
      <xdr:row>47</xdr:row>
      <xdr:rowOff>28575</xdr:rowOff>
    </xdr:from>
    <xdr:to>
      <xdr:col>11</xdr:col>
      <xdr:colOff>466725</xdr:colOff>
      <xdr:row>48</xdr:row>
      <xdr:rowOff>0</xdr:rowOff>
    </xdr:to>
    <xdr:sp macro="" textlink="">
      <xdr:nvSpPr>
        <xdr:cNvPr id="85003" name="Rectangle 11">
          <a:extLst>
            <a:ext uri="{FF2B5EF4-FFF2-40B4-BE49-F238E27FC236}">
              <a16:creationId xmlns:a16="http://schemas.microsoft.com/office/drawing/2014/main" id="{CFD72B33-7B79-4ABB-A4BD-8E5D2587F6F1}"/>
            </a:ext>
          </a:extLst>
        </xdr:cNvPr>
        <xdr:cNvSpPr>
          <a:spLocks noChangeArrowheads="1"/>
        </xdr:cNvSpPr>
      </xdr:nvSpPr>
      <xdr:spPr bwMode="auto">
        <a:xfrm>
          <a:off x="4924425" y="9172575"/>
          <a:ext cx="22479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Sansserif"/>
            </a:rPr>
            <a:t> </a:t>
          </a:r>
        </a:p>
      </xdr:txBody>
    </xdr:sp>
    <xdr:clientData/>
  </xdr:twoCellAnchor>
  <xdr:twoCellAnchor>
    <xdr:from>
      <xdr:col>0</xdr:col>
      <xdr:colOff>381000</xdr:colOff>
      <xdr:row>48</xdr:row>
      <xdr:rowOff>0</xdr:rowOff>
    </xdr:from>
    <xdr:to>
      <xdr:col>11</xdr:col>
      <xdr:colOff>466725</xdr:colOff>
      <xdr:row>48</xdr:row>
      <xdr:rowOff>38100</xdr:rowOff>
    </xdr:to>
    <xdr:sp macro="" textlink="">
      <xdr:nvSpPr>
        <xdr:cNvPr id="85002" name="Rectangle 10">
          <a:extLst>
            <a:ext uri="{FF2B5EF4-FFF2-40B4-BE49-F238E27FC236}">
              <a16:creationId xmlns:a16="http://schemas.microsoft.com/office/drawing/2014/main" id="{004A1345-1756-4F8B-800A-A01A85941D43}"/>
            </a:ext>
          </a:extLst>
        </xdr:cNvPr>
        <xdr:cNvSpPr>
          <a:spLocks noChangeArrowheads="1"/>
        </xdr:cNvSpPr>
      </xdr:nvSpPr>
      <xdr:spPr bwMode="auto">
        <a:xfrm>
          <a:off x="381000" y="9820275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238125</xdr:colOff>
      <xdr:row>48</xdr:row>
      <xdr:rowOff>0</xdr:rowOff>
    </xdr:from>
    <xdr:to>
      <xdr:col>8</xdr:col>
      <xdr:colOff>47625</xdr:colOff>
      <xdr:row>48</xdr:row>
      <xdr:rowOff>38100</xdr:rowOff>
    </xdr:to>
    <xdr:sp macro="" textlink="">
      <xdr:nvSpPr>
        <xdr:cNvPr id="85000" name="Rectangle 8">
          <a:extLst>
            <a:ext uri="{FF2B5EF4-FFF2-40B4-BE49-F238E27FC236}">
              <a16:creationId xmlns:a16="http://schemas.microsoft.com/office/drawing/2014/main" id="{40808D67-1450-4E71-ADDB-A679AC88AC5C}"/>
            </a:ext>
          </a:extLst>
        </xdr:cNvPr>
        <xdr:cNvSpPr>
          <a:spLocks noChangeArrowheads="1"/>
        </xdr:cNvSpPr>
      </xdr:nvSpPr>
      <xdr:spPr bwMode="auto">
        <a:xfrm>
          <a:off x="2676525" y="9820275"/>
          <a:ext cx="2247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Sansserif"/>
            </a:rPr>
            <a:t> </a:t>
          </a:r>
        </a:p>
      </xdr:txBody>
    </xdr:sp>
    <xdr:clientData/>
  </xdr:twoCellAnchor>
  <xdr:twoCellAnchor>
    <xdr:from>
      <xdr:col>0</xdr:col>
      <xdr:colOff>381000</xdr:colOff>
      <xdr:row>48</xdr:row>
      <xdr:rowOff>38100</xdr:rowOff>
    </xdr:from>
    <xdr:to>
      <xdr:col>11</xdr:col>
      <xdr:colOff>466725</xdr:colOff>
      <xdr:row>49</xdr:row>
      <xdr:rowOff>76200</xdr:rowOff>
    </xdr:to>
    <xdr:sp macro="" textlink="">
      <xdr:nvSpPr>
        <xdr:cNvPr id="84998" name="Rectangle 6">
          <a:extLst>
            <a:ext uri="{FF2B5EF4-FFF2-40B4-BE49-F238E27FC236}">
              <a16:creationId xmlns:a16="http://schemas.microsoft.com/office/drawing/2014/main" id="{D72B3962-091F-4809-9D5A-6CA7134FCEC4}"/>
            </a:ext>
          </a:extLst>
        </xdr:cNvPr>
        <xdr:cNvSpPr>
          <a:spLocks noChangeArrowheads="1"/>
        </xdr:cNvSpPr>
      </xdr:nvSpPr>
      <xdr:spPr bwMode="auto">
        <a:xfrm>
          <a:off x="381000" y="9944100"/>
          <a:ext cx="6791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48</xdr:row>
      <xdr:rowOff>38100</xdr:rowOff>
    </xdr:from>
    <xdr:to>
      <xdr:col>4</xdr:col>
      <xdr:colOff>238125</xdr:colOff>
      <xdr:row>49</xdr:row>
      <xdr:rowOff>76200</xdr:rowOff>
    </xdr:to>
    <xdr:sp macro="" textlink="">
      <xdr:nvSpPr>
        <xdr:cNvPr id="84997" name="Rectangle 5">
          <a:extLst>
            <a:ext uri="{FF2B5EF4-FFF2-40B4-BE49-F238E27FC236}">
              <a16:creationId xmlns:a16="http://schemas.microsoft.com/office/drawing/2014/main" id="{83E3002F-1887-4071-BEBA-16EF3F4E2217}"/>
            </a:ext>
          </a:extLst>
        </xdr:cNvPr>
        <xdr:cNvSpPr>
          <a:spLocks noChangeArrowheads="1"/>
        </xdr:cNvSpPr>
      </xdr:nvSpPr>
      <xdr:spPr bwMode="auto">
        <a:xfrm>
          <a:off x="381000" y="9944100"/>
          <a:ext cx="2295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(wyjaśnienia dotyczące sprawozdania można uzyskać pod numerem telefonu) </a:t>
          </a:r>
        </a:p>
      </xdr:txBody>
    </xdr:sp>
    <xdr:clientData/>
  </xdr:twoCellAnchor>
  <xdr:twoCellAnchor>
    <xdr:from>
      <xdr:col>4</xdr:col>
      <xdr:colOff>238125</xdr:colOff>
      <xdr:row>48</xdr:row>
      <xdr:rowOff>38100</xdr:rowOff>
    </xdr:from>
    <xdr:to>
      <xdr:col>8</xdr:col>
      <xdr:colOff>47625</xdr:colOff>
      <xdr:row>49</xdr:row>
      <xdr:rowOff>76200</xdr:rowOff>
    </xdr:to>
    <xdr:sp macro="" textlink="">
      <xdr:nvSpPr>
        <xdr:cNvPr id="84996" name="Rectangle 4">
          <a:extLst>
            <a:ext uri="{FF2B5EF4-FFF2-40B4-BE49-F238E27FC236}">
              <a16:creationId xmlns:a16="http://schemas.microsoft.com/office/drawing/2014/main" id="{A5BFA827-317B-4D46-9C59-85E2D8C1240B}"/>
            </a:ext>
          </a:extLst>
        </xdr:cNvPr>
        <xdr:cNvSpPr>
          <a:spLocks noChangeArrowheads="1"/>
        </xdr:cNvSpPr>
      </xdr:nvSpPr>
      <xdr:spPr bwMode="auto">
        <a:xfrm>
          <a:off x="2676525" y="9944100"/>
          <a:ext cx="2247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Sansserif"/>
            </a:rPr>
            <a:t> </a:t>
          </a:r>
        </a:p>
      </xdr:txBody>
    </xdr:sp>
    <xdr:clientData/>
  </xdr:twoCellAnchor>
  <xdr:twoCellAnchor>
    <xdr:from>
      <xdr:col>8</xdr:col>
      <xdr:colOff>47625</xdr:colOff>
      <xdr:row>48</xdr:row>
      <xdr:rowOff>38100</xdr:rowOff>
    </xdr:from>
    <xdr:to>
      <xdr:col>11</xdr:col>
      <xdr:colOff>466725</xdr:colOff>
      <xdr:row>49</xdr:row>
      <xdr:rowOff>76200</xdr:rowOff>
    </xdr:to>
    <xdr:sp macro="" textlink="">
      <xdr:nvSpPr>
        <xdr:cNvPr id="84995" name="Rectangle 3">
          <a:extLst>
            <a:ext uri="{FF2B5EF4-FFF2-40B4-BE49-F238E27FC236}">
              <a16:creationId xmlns:a16="http://schemas.microsoft.com/office/drawing/2014/main" id="{A8131B2D-208F-4BB0-99C6-68362FB8DD25}"/>
            </a:ext>
          </a:extLst>
        </xdr:cNvPr>
        <xdr:cNvSpPr>
          <a:spLocks noChangeArrowheads="1"/>
        </xdr:cNvSpPr>
      </xdr:nvSpPr>
      <xdr:spPr bwMode="auto">
        <a:xfrm>
          <a:off x="4924425" y="9944100"/>
          <a:ext cx="2247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miejscowość, data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270477</xdr:colOff>
      <xdr:row>0</xdr:row>
      <xdr:rowOff>176994</xdr:rowOff>
    </xdr:from>
    <xdr:to>
      <xdr:col>6</xdr:col>
      <xdr:colOff>82126</xdr:colOff>
      <xdr:row>11</xdr:row>
      <xdr:rowOff>264584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268394</xdr:colOff>
      <xdr:row>0</xdr:row>
      <xdr:rowOff>50769</xdr:rowOff>
    </xdr:from>
    <xdr:to>
      <xdr:col>9</xdr:col>
      <xdr:colOff>450823</xdr:colOff>
      <xdr:row>15</xdr:row>
      <xdr:rowOff>115730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895233</xdr:colOff>
      <xdr:row>13</xdr:row>
      <xdr:rowOff>31578</xdr:rowOff>
    </xdr:from>
    <xdr:to>
      <xdr:col>11</xdr:col>
      <xdr:colOff>367392</xdr:colOff>
      <xdr:row>34</xdr:row>
      <xdr:rowOff>149678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241458</xdr:colOff>
      <xdr:row>28</xdr:row>
      <xdr:rowOff>76644</xdr:rowOff>
    </xdr:from>
    <xdr:to>
      <xdr:col>7</xdr:col>
      <xdr:colOff>349249</xdr:colOff>
      <xdr:row>48</xdr:row>
      <xdr:rowOff>25136</xdr:rowOff>
    </xdr:to>
    <xdr:graphicFrame macro="">
      <xdr:nvGraphicFramePr>
        <xdr:cNvPr id="11" name="Wykres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1464107</xdr:colOff>
      <xdr:row>11</xdr:row>
      <xdr:rowOff>64256</xdr:rowOff>
    </xdr:from>
    <xdr:to>
      <xdr:col>7</xdr:col>
      <xdr:colOff>445926</xdr:colOff>
      <xdr:row>31</xdr:row>
      <xdr:rowOff>32163</xdr:rowOff>
    </xdr:to>
    <xdr:graphicFrame macro="">
      <xdr:nvGraphicFramePr>
        <xdr:cNvPr id="13" name="Wykres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22453</xdr:colOff>
      <xdr:row>11</xdr:row>
      <xdr:rowOff>209890</xdr:rowOff>
    </xdr:from>
    <xdr:to>
      <xdr:col>18</xdr:col>
      <xdr:colOff>411615</xdr:colOff>
      <xdr:row>33</xdr:row>
      <xdr:rowOff>17009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0.05342</cdr:x>
      <cdr:y>0.45563</cdr:y>
    </cdr:from>
    <cdr:to>
      <cdr:x>1</cdr:x>
      <cdr:y>0.46033</cdr:y>
    </cdr:to>
    <cdr:cxnSp macro="">
      <cdr:nvCxnSpPr>
        <cdr:cNvPr id="2" name="Łącznik prostoliniowy 1">
          <a:extLst xmlns:a="http://schemas.openxmlformats.org/drawingml/2006/main">
            <a:ext uri="{FF2B5EF4-FFF2-40B4-BE49-F238E27FC236}">
              <a16:creationId xmlns:a16="http://schemas.microsoft.com/office/drawing/2014/main" id="{11A31905-F9C4-4F23-9B8D-3091097BBD3E}"/>
            </a:ext>
          </a:extLst>
        </cdr:cNvPr>
        <cdr:cNvCxnSpPr/>
      </cdr:nvCxnSpPr>
      <cdr:spPr>
        <a:xfrm xmlns:a="http://schemas.openxmlformats.org/drawingml/2006/main">
          <a:off x="272336" y="1227956"/>
          <a:ext cx="4825688" cy="12667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accent2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0.08311</cdr:x>
      <cdr:y>0.46997</cdr:y>
    </cdr:from>
    <cdr:to>
      <cdr:x>1</cdr:x>
      <cdr:y>0.47171</cdr:y>
    </cdr:to>
    <cdr:cxnSp macro="">
      <cdr:nvCxnSpPr>
        <cdr:cNvPr id="2" name="Łącznik prostoliniowy 1">
          <a:extLst xmlns:a="http://schemas.openxmlformats.org/drawingml/2006/main">
            <a:ext uri="{FF2B5EF4-FFF2-40B4-BE49-F238E27FC236}">
              <a16:creationId xmlns:a16="http://schemas.microsoft.com/office/drawing/2014/main" id="{07830836-B940-404B-872B-2F3980604640}"/>
            </a:ext>
          </a:extLst>
        </cdr:cNvPr>
        <cdr:cNvCxnSpPr/>
      </cdr:nvCxnSpPr>
      <cdr:spPr>
        <a:xfrm xmlns:a="http://schemas.openxmlformats.org/drawingml/2006/main">
          <a:off x="425816" y="1877084"/>
          <a:ext cx="4697707" cy="6949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accent2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1100137</xdr:colOff>
      <xdr:row>9</xdr:row>
      <xdr:rowOff>158750</xdr:rowOff>
    </xdr:from>
    <xdr:to>
      <xdr:col>12</xdr:col>
      <xdr:colOff>21168</xdr:colOff>
      <xdr:row>22</xdr:row>
      <xdr:rowOff>95250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DE5AA475-2797-4430-9D44-BDACAEAD8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116416</xdr:colOff>
      <xdr:row>0</xdr:row>
      <xdr:rowOff>169333</xdr:rowOff>
    </xdr:from>
    <xdr:to>
      <xdr:col>11</xdr:col>
      <xdr:colOff>412749</xdr:colOff>
      <xdr:row>9</xdr:row>
      <xdr:rowOff>31748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914C621-F495-4C75-87AA-5225D9000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17984</xdr:colOff>
      <xdr:row>13</xdr:row>
      <xdr:rowOff>103909</xdr:rowOff>
    </xdr:from>
    <xdr:to>
      <xdr:col>1</xdr:col>
      <xdr:colOff>3515591</xdr:colOff>
      <xdr:row>23</xdr:row>
      <xdr:rowOff>181841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6C9158B-7555-4B47-BFCD-93B81C5533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3299114</xdr:colOff>
      <xdr:row>13</xdr:row>
      <xdr:rowOff>138545</xdr:rowOff>
    </xdr:from>
    <xdr:to>
      <xdr:col>5</xdr:col>
      <xdr:colOff>727363</xdr:colOff>
      <xdr:row>24</xdr:row>
      <xdr:rowOff>60615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24E4026-AF1C-47E6-9E91-DCB8A61F97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23</xdr:row>
      <xdr:rowOff>31751</xdr:rowOff>
    </xdr:from>
    <xdr:to>
      <xdr:col>1</xdr:col>
      <xdr:colOff>3465857</xdr:colOff>
      <xdr:row>32</xdr:row>
      <xdr:rowOff>158751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AC42758E-1678-4A19-BD73-FD874B0C4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3221567</xdr:colOff>
      <xdr:row>23</xdr:row>
      <xdr:rowOff>80433</xdr:rowOff>
    </xdr:from>
    <xdr:to>
      <xdr:col>5</xdr:col>
      <xdr:colOff>649816</xdr:colOff>
      <xdr:row>33</xdr:row>
      <xdr:rowOff>116416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51842F25-72A8-4C2B-A757-BB7B7972C5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285749</xdr:colOff>
      <xdr:row>12</xdr:row>
      <xdr:rowOff>11906</xdr:rowOff>
    </xdr:from>
    <xdr:to>
      <xdr:col>18</xdr:col>
      <xdr:colOff>452437</xdr:colOff>
      <xdr:row>33</xdr:row>
      <xdr:rowOff>107155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DCCBF80F-2C5D-4E5A-BBAE-CB52D60C78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80838</xdr:colOff>
      <xdr:row>0</xdr:row>
      <xdr:rowOff>39688</xdr:rowOff>
    </xdr:from>
    <xdr:to>
      <xdr:col>10</xdr:col>
      <xdr:colOff>523875</xdr:colOff>
      <xdr:row>21</xdr:row>
      <xdr:rowOff>83343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E356591A-A215-41C4-BB50-1E5EA53D1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74527-7838-491C-9EDE-1615BC8DDD38}">
  <sheetPr>
    <tabColor theme="0"/>
    <pageSetUpPr fitToPage="1"/>
  </sheetPr>
  <dimension ref="B1:U39"/>
  <sheetViews>
    <sheetView zoomScale="80" zoomScaleNormal="80" workbookViewId="0">
      <selection activeCell="B1" sqref="B1"/>
    </sheetView>
  </sheetViews>
  <sheetFormatPr defaultRowHeight="14.25" x14ac:dyDescent="0.2"/>
  <cols>
    <col min="1" max="1" width="1.7109375" style="44" customWidth="1"/>
    <col min="2" max="2" width="5.5703125" style="44" customWidth="1"/>
    <col min="3" max="3" width="65.42578125" style="44" customWidth="1"/>
    <col min="4" max="4" width="10.85546875" style="44" customWidth="1"/>
    <col min="5" max="5" width="10.42578125" style="44" customWidth="1"/>
    <col min="6" max="6" width="10.140625" style="44" customWidth="1"/>
    <col min="7" max="7" width="14.7109375" style="44" customWidth="1"/>
    <col min="8" max="8" width="14.42578125" style="44" customWidth="1"/>
    <col min="9" max="9" width="12.42578125" style="44" customWidth="1"/>
    <col min="10" max="10" width="17.7109375" style="44" customWidth="1"/>
    <col min="11" max="11" width="12.7109375" style="44" customWidth="1"/>
    <col min="12" max="12" width="3.28515625" style="44" customWidth="1"/>
    <col min="13" max="13" width="8" style="44" customWidth="1"/>
    <col min="14" max="14" width="7.7109375" style="44" customWidth="1"/>
    <col min="15" max="15" width="3.28515625" style="44" customWidth="1"/>
    <col min="16" max="16" width="10.7109375" style="44" customWidth="1"/>
    <col min="17" max="17" width="10.42578125" style="44" customWidth="1"/>
    <col min="18" max="18" width="14.28515625" style="44" customWidth="1"/>
    <col min="19" max="19" width="9.85546875" style="44" customWidth="1"/>
    <col min="20" max="20" width="8.7109375" style="44" customWidth="1"/>
    <col min="21" max="21" width="9.28515625" style="44" customWidth="1"/>
    <col min="22" max="16384" width="9.140625" style="44"/>
  </cols>
  <sheetData>
    <row r="1" spans="2:21" x14ac:dyDescent="0.2">
      <c r="B1" s="96" t="s">
        <v>487</v>
      </c>
      <c r="D1" s="45"/>
      <c r="E1" s="45"/>
      <c r="F1" s="45"/>
      <c r="G1" s="382" t="s">
        <v>250</v>
      </c>
      <c r="H1" s="320" t="s">
        <v>248</v>
      </c>
      <c r="I1" s="45"/>
      <c r="J1" s="45"/>
      <c r="K1" s="45"/>
    </row>
    <row r="2" spans="2:21" x14ac:dyDescent="0.2">
      <c r="B2" s="330"/>
      <c r="C2" s="760" t="s">
        <v>296</v>
      </c>
      <c r="D2" s="321"/>
      <c r="E2" s="321"/>
      <c r="F2" s="343"/>
      <c r="G2" s="321"/>
      <c r="H2" s="321"/>
      <c r="I2" s="321"/>
      <c r="J2" s="322"/>
      <c r="K2" s="322"/>
    </row>
    <row r="3" spans="2:21" ht="66" customHeight="1" x14ac:dyDescent="0.2">
      <c r="B3" s="356"/>
      <c r="C3" s="761"/>
      <c r="D3" s="318" t="s">
        <v>102</v>
      </c>
      <c r="E3" s="318" t="s">
        <v>103</v>
      </c>
      <c r="F3" s="344" t="s">
        <v>104</v>
      </c>
      <c r="G3" s="353" t="s">
        <v>105</v>
      </c>
      <c r="H3" s="318" t="s">
        <v>227</v>
      </c>
      <c r="I3" s="318" t="s">
        <v>158</v>
      </c>
      <c r="J3" s="349" t="s">
        <v>177</v>
      </c>
      <c r="K3" s="323" t="s">
        <v>176</v>
      </c>
    </row>
    <row r="4" spans="2:21" ht="36" x14ac:dyDescent="0.2">
      <c r="B4" s="331" t="s">
        <v>100</v>
      </c>
      <c r="C4" s="761"/>
      <c r="D4" s="318"/>
      <c r="E4" s="318"/>
      <c r="F4" s="344"/>
      <c r="G4" s="318" t="s">
        <v>226</v>
      </c>
      <c r="H4" s="318" t="s">
        <v>315</v>
      </c>
      <c r="I4" s="318"/>
      <c r="J4" s="350"/>
      <c r="K4" s="318" t="s">
        <v>315</v>
      </c>
    </row>
    <row r="5" spans="2:21" x14ac:dyDescent="0.2">
      <c r="B5" s="332"/>
      <c r="C5" s="762"/>
      <c r="D5" s="324"/>
      <c r="E5" s="324"/>
      <c r="F5" s="345"/>
      <c r="G5" s="324"/>
      <c r="H5" s="324"/>
      <c r="I5" s="324"/>
      <c r="J5" s="325"/>
      <c r="K5" s="325"/>
      <c r="M5" s="60"/>
      <c r="N5" s="60"/>
      <c r="O5" s="61"/>
      <c r="P5" s="60"/>
      <c r="Q5" s="60"/>
      <c r="R5" s="61"/>
      <c r="S5" s="60"/>
      <c r="T5" s="60"/>
      <c r="U5" s="61"/>
    </row>
    <row r="6" spans="2:21" x14ac:dyDescent="0.2">
      <c r="B6" s="125">
        <v>1</v>
      </c>
      <c r="C6" s="338" t="s">
        <v>2</v>
      </c>
      <c r="D6" s="46">
        <f>SUM('z25'!E6)</f>
        <v>1485</v>
      </c>
      <c r="E6" s="46">
        <f>SUM('z25'!F6)</f>
        <v>1288</v>
      </c>
      <c r="F6" s="245">
        <f>SUM('z25'!G6)</f>
        <v>660</v>
      </c>
      <c r="G6" s="126">
        <f t="shared" ref="G6:G14" si="0">SUM(F6/E6)*100</f>
        <v>51.242236024844722</v>
      </c>
      <c r="H6" s="126">
        <f t="shared" ref="H6:H14" si="1">SUM(J6/F6)</f>
        <v>10098.810530303028</v>
      </c>
      <c r="I6" s="127">
        <f>SUM('z25'!D6)</f>
        <v>6665.2149499999987</v>
      </c>
      <c r="J6" s="756">
        <f t="shared" ref="J6:J14" si="2">SUM(I6*1000)</f>
        <v>6665214.9499999983</v>
      </c>
      <c r="K6" s="326">
        <f t="shared" ref="K6:K14" si="3">SUM(J6/D6)</f>
        <v>4488.3602356902347</v>
      </c>
      <c r="M6" s="80"/>
      <c r="N6" s="80"/>
      <c r="O6" s="61"/>
      <c r="P6" s="81"/>
      <c r="Q6" s="60"/>
      <c r="R6" s="60"/>
      <c r="S6" s="62"/>
      <c r="T6" s="62"/>
      <c r="U6" s="62"/>
    </row>
    <row r="7" spans="2:21" x14ac:dyDescent="0.2">
      <c r="B7" s="125">
        <v>2</v>
      </c>
      <c r="C7" s="338" t="s">
        <v>1</v>
      </c>
      <c r="D7" s="46">
        <f>SUM('z25'!E5)</f>
        <v>5942</v>
      </c>
      <c r="E7" s="46">
        <f>SUM('z25'!F5)</f>
        <v>4427</v>
      </c>
      <c r="F7" s="245">
        <f>SUM('z25'!G5)</f>
        <v>3650</v>
      </c>
      <c r="G7" s="126">
        <f t="shared" si="0"/>
        <v>82.448610797379715</v>
      </c>
      <c r="H7" s="126">
        <f t="shared" si="1"/>
        <v>18392.965695890409</v>
      </c>
      <c r="I7" s="127">
        <f>SUM('z25'!D5)</f>
        <v>67134.324789999999</v>
      </c>
      <c r="J7" s="756">
        <f t="shared" si="2"/>
        <v>67134324.789999992</v>
      </c>
      <c r="K7" s="326">
        <f t="shared" si="3"/>
        <v>11298.27074890609</v>
      </c>
      <c r="M7" s="80"/>
      <c r="N7" s="60"/>
      <c r="O7" s="61"/>
      <c r="P7" s="81"/>
      <c r="Q7" s="60"/>
      <c r="R7" s="60"/>
      <c r="S7" s="62"/>
      <c r="T7" s="62"/>
      <c r="U7" s="62"/>
    </row>
    <row r="8" spans="2:21" x14ac:dyDescent="0.2">
      <c r="B8" s="125">
        <v>3</v>
      </c>
      <c r="C8" s="338" t="s">
        <v>3</v>
      </c>
      <c r="D8" s="46">
        <f>SUM('z25'!E7)</f>
        <v>4125</v>
      </c>
      <c r="E8" s="46">
        <f>SUM('z25'!F7)</f>
        <v>2924</v>
      </c>
      <c r="F8" s="245">
        <f>SUM('z25'!G7)</f>
        <v>2727</v>
      </c>
      <c r="G8" s="126">
        <f t="shared" si="0"/>
        <v>93.262653898768804</v>
      </c>
      <c r="H8" s="126">
        <f t="shared" si="1"/>
        <v>12347.160524385772</v>
      </c>
      <c r="I8" s="127">
        <f>SUM('z25'!D7)</f>
        <v>33670.706749999998</v>
      </c>
      <c r="J8" s="756">
        <f t="shared" si="2"/>
        <v>33670706.75</v>
      </c>
      <c r="K8" s="326">
        <f t="shared" si="3"/>
        <v>8162.5955757575757</v>
      </c>
      <c r="M8" s="80"/>
      <c r="N8" s="60"/>
      <c r="O8" s="61"/>
      <c r="P8" s="81"/>
      <c r="Q8" s="60"/>
      <c r="R8" s="60"/>
      <c r="S8" s="62"/>
      <c r="T8" s="62"/>
      <c r="U8" s="62"/>
    </row>
    <row r="9" spans="2:21" x14ac:dyDescent="0.2">
      <c r="B9" s="125">
        <v>4</v>
      </c>
      <c r="C9" s="338" t="s">
        <v>4</v>
      </c>
      <c r="D9" s="46">
        <f>SUM('z25'!E8)</f>
        <v>1726</v>
      </c>
      <c r="E9" s="46">
        <f>SUM('z25'!F8)</f>
        <v>1399</v>
      </c>
      <c r="F9" s="245">
        <f>SUM('z25'!G8)</f>
        <v>1351</v>
      </c>
      <c r="G9" s="126">
        <f t="shared" si="0"/>
        <v>96.568977841315231</v>
      </c>
      <c r="H9" s="126">
        <f t="shared" si="1"/>
        <v>22106.118038490007</v>
      </c>
      <c r="I9" s="127">
        <f>SUM('z25'!D8)</f>
        <v>29865.365469999997</v>
      </c>
      <c r="J9" s="756">
        <f t="shared" si="2"/>
        <v>29865365.469999999</v>
      </c>
      <c r="K9" s="326">
        <f t="shared" si="3"/>
        <v>17303.224490150638</v>
      </c>
      <c r="M9" s="80"/>
      <c r="N9" s="60"/>
      <c r="O9" s="61"/>
      <c r="P9" s="81"/>
      <c r="Q9" s="60"/>
      <c r="R9" s="60"/>
      <c r="S9" s="62"/>
      <c r="T9" s="62"/>
      <c r="U9" s="62"/>
    </row>
    <row r="10" spans="2:21" x14ac:dyDescent="0.2">
      <c r="B10" s="125">
        <v>5</v>
      </c>
      <c r="C10" s="338" t="s">
        <v>56</v>
      </c>
      <c r="D10" s="46">
        <f>SUM('z25'!E23)</f>
        <v>1700</v>
      </c>
      <c r="E10" s="46">
        <f>SUM('z25'!F23)</f>
        <v>1810</v>
      </c>
      <c r="F10" s="245">
        <f>SUM('z25'!G23)</f>
        <v>1762</v>
      </c>
      <c r="G10" s="126">
        <f t="shared" si="0"/>
        <v>97.348066298342545</v>
      </c>
      <c r="H10" s="126">
        <f t="shared" si="1"/>
        <v>34538.310051078312</v>
      </c>
      <c r="I10" s="127">
        <f>SUM('z25'!D23)</f>
        <v>60856.502309999989</v>
      </c>
      <c r="J10" s="756">
        <f t="shared" si="2"/>
        <v>60856502.309999987</v>
      </c>
      <c r="K10" s="326">
        <f t="shared" si="3"/>
        <v>35797.942535294111</v>
      </c>
      <c r="M10" s="80"/>
      <c r="N10" s="60"/>
      <c r="O10" s="61"/>
      <c r="P10" s="81"/>
      <c r="Q10" s="60"/>
      <c r="R10" s="60"/>
      <c r="S10" s="62"/>
      <c r="T10" s="62"/>
      <c r="U10" s="62"/>
    </row>
    <row r="11" spans="2:21" ht="15" customHeight="1" x14ac:dyDescent="0.2">
      <c r="B11" s="333">
        <v>6</v>
      </c>
      <c r="C11" s="339" t="s">
        <v>57</v>
      </c>
      <c r="D11" s="52">
        <f>SUM('z25'!E25)</f>
        <v>1118</v>
      </c>
      <c r="E11" s="52">
        <f>SUM('z25'!F25)</f>
        <v>1628</v>
      </c>
      <c r="F11" s="403">
        <f>SUM('z25'!G25)</f>
        <v>1463</v>
      </c>
      <c r="G11" s="354">
        <f t="shared" si="0"/>
        <v>89.86486486486487</v>
      </c>
      <c r="H11" s="354">
        <f t="shared" si="1"/>
        <v>30333.703615857827</v>
      </c>
      <c r="I11" s="351">
        <f>SUM('z25'!D25)</f>
        <v>44378.20839</v>
      </c>
      <c r="J11" s="757">
        <f t="shared" si="2"/>
        <v>44378208.390000001</v>
      </c>
      <c r="K11" s="329">
        <f t="shared" si="3"/>
        <v>39694.282996422182</v>
      </c>
      <c r="M11" s="80"/>
      <c r="N11" s="60"/>
      <c r="O11" s="61"/>
      <c r="P11" s="81"/>
      <c r="Q11" s="60"/>
      <c r="R11" s="60"/>
      <c r="S11" s="62"/>
      <c r="T11" s="62"/>
      <c r="U11" s="62"/>
    </row>
    <row r="12" spans="2:21" ht="15" customHeight="1" x14ac:dyDescent="0.2">
      <c r="B12" s="333">
        <v>7</v>
      </c>
      <c r="C12" s="339" t="s">
        <v>11</v>
      </c>
      <c r="D12" s="52">
        <f>SUM('z25'!E17)</f>
        <v>840</v>
      </c>
      <c r="E12" s="52">
        <f>SUM('z25'!F17)</f>
        <v>893</v>
      </c>
      <c r="F12" s="403">
        <f>SUM('z25'!G17)</f>
        <v>739</v>
      </c>
      <c r="G12" s="354">
        <f t="shared" si="0"/>
        <v>82.754759238521842</v>
      </c>
      <c r="H12" s="354">
        <f t="shared" si="1"/>
        <v>12881.823491204332</v>
      </c>
      <c r="I12" s="351">
        <f>SUM('z25'!D17)</f>
        <v>9519.6675599999999</v>
      </c>
      <c r="J12" s="757">
        <f t="shared" si="2"/>
        <v>9519667.5600000005</v>
      </c>
      <c r="K12" s="329">
        <f t="shared" si="3"/>
        <v>11332.937571428572</v>
      </c>
      <c r="M12" s="80"/>
      <c r="N12" s="80"/>
      <c r="O12" s="61"/>
      <c r="P12" s="81"/>
      <c r="Q12" s="60"/>
      <c r="R12" s="60"/>
      <c r="S12" s="62"/>
      <c r="T12" s="62"/>
      <c r="U12" s="62"/>
    </row>
    <row r="13" spans="2:21" x14ac:dyDescent="0.2">
      <c r="B13" s="334">
        <v>8</v>
      </c>
      <c r="C13" s="340" t="s">
        <v>288</v>
      </c>
      <c r="D13" s="327">
        <f>SUM(D6:D11)</f>
        <v>16096</v>
      </c>
      <c r="E13" s="327">
        <f>SUM(E6:E11)</f>
        <v>13476</v>
      </c>
      <c r="F13" s="346">
        <f>SUM(F6:F11)</f>
        <v>11613</v>
      </c>
      <c r="G13" s="355">
        <f>SUM(F13/E13)*100</f>
        <v>86.175422974176314</v>
      </c>
      <c r="H13" s="355">
        <f t="shared" si="1"/>
        <v>20887.82594161715</v>
      </c>
      <c r="I13" s="352">
        <f>SUM(I6:I11)</f>
        <v>242570.32265999995</v>
      </c>
      <c r="J13" s="758">
        <f t="shared" si="2"/>
        <v>242570322.65999994</v>
      </c>
      <c r="K13" s="328">
        <f t="shared" si="3"/>
        <v>15070.223823310136</v>
      </c>
      <c r="M13" s="80"/>
      <c r="N13" s="80"/>
      <c r="O13" s="61"/>
      <c r="P13" s="81"/>
      <c r="Q13" s="62"/>
      <c r="R13" s="60"/>
      <c r="S13" s="62"/>
      <c r="T13" s="62"/>
      <c r="U13" s="62"/>
    </row>
    <row r="14" spans="2:21" x14ac:dyDescent="0.2">
      <c r="B14" s="335">
        <v>9</v>
      </c>
      <c r="C14" s="338" t="s">
        <v>278</v>
      </c>
      <c r="D14" s="46">
        <f>SUM(D6:D12)</f>
        <v>16936</v>
      </c>
      <c r="E14" s="46">
        <f>SUM(E6:E12)</f>
        <v>14369</v>
      </c>
      <c r="F14" s="245">
        <f>SUM(F6:F12)</f>
        <v>12352</v>
      </c>
      <c r="G14" s="126">
        <f t="shared" si="0"/>
        <v>85.962836662259036</v>
      </c>
      <c r="H14" s="126">
        <f t="shared" si="1"/>
        <v>20408.839881800512</v>
      </c>
      <c r="I14" s="127">
        <f>SUM(I6:I12)</f>
        <v>252089.99021999995</v>
      </c>
      <c r="J14" s="756">
        <f t="shared" si="2"/>
        <v>252089990.21999994</v>
      </c>
      <c r="K14" s="326">
        <f t="shared" si="3"/>
        <v>14884.860074397729</v>
      </c>
      <c r="M14" s="61"/>
      <c r="N14" s="61"/>
      <c r="O14" s="61"/>
      <c r="P14" s="62"/>
      <c r="Q14" s="62"/>
      <c r="R14" s="62"/>
      <c r="S14" s="62"/>
      <c r="T14" s="62"/>
      <c r="U14" s="60"/>
    </row>
    <row r="16" spans="2:21" x14ac:dyDescent="0.2">
      <c r="D16" s="475">
        <v>68930.416666666672</v>
      </c>
      <c r="E16" s="94"/>
      <c r="I16" s="49">
        <f>SUM(I6/I13)*100</f>
        <v>2.7477454277629563</v>
      </c>
      <c r="J16" s="48"/>
    </row>
    <row r="17" spans="4:16" x14ac:dyDescent="0.2">
      <c r="D17" s="94">
        <f>SUM(D13)/D16*100</f>
        <v>23.351084729165279</v>
      </c>
      <c r="I17" s="759">
        <f>SUM(I7/I13)*100</f>
        <v>27.676231805198693</v>
      </c>
      <c r="J17" s="50"/>
      <c r="M17" s="99"/>
      <c r="N17" s="100"/>
      <c r="O17" s="100"/>
      <c r="P17" s="99"/>
    </row>
    <row r="18" spans="4:16" ht="12" customHeight="1" x14ac:dyDescent="0.2">
      <c r="D18" s="200">
        <f>SUM(D6:D11)</f>
        <v>16096</v>
      </c>
      <c r="I18" s="49">
        <f>SUM(I8/I13)*100</f>
        <v>13.880802227069932</v>
      </c>
      <c r="J18" s="49"/>
    </row>
    <row r="19" spans="4:16" x14ac:dyDescent="0.2">
      <c r="D19" s="200">
        <f>SUM(E6:E11)</f>
        <v>13476</v>
      </c>
      <c r="G19" s="47"/>
      <c r="I19" s="49">
        <f>SUM(I9/I13)*100</f>
        <v>12.312044252775701</v>
      </c>
      <c r="J19" s="49"/>
    </row>
    <row r="20" spans="4:16" x14ac:dyDescent="0.2">
      <c r="D20" s="94">
        <f>SUM(D19)/D18*100</f>
        <v>83.72266401590457</v>
      </c>
      <c r="G20" s="47"/>
      <c r="I20" s="759">
        <f>SUM(I10/I13)*100</f>
        <v>25.088189537225396</v>
      </c>
      <c r="J20" s="55"/>
    </row>
    <row r="21" spans="4:16" ht="16.5" customHeight="1" x14ac:dyDescent="0.2">
      <c r="D21" s="94">
        <f>SUM(D7)/D13*100</f>
        <v>36.916003976143145</v>
      </c>
      <c r="G21" s="47"/>
      <c r="I21" s="759">
        <f>SUM(I11/I13)*100</f>
        <v>18.294986749967336</v>
      </c>
      <c r="J21" s="55"/>
    </row>
    <row r="22" spans="4:16" ht="15" customHeight="1" x14ac:dyDescent="0.2">
      <c r="D22" s="192">
        <f>SUM(E13/D13)*100</f>
        <v>83.72266401590457</v>
      </c>
      <c r="F22" s="47"/>
      <c r="G22" s="47"/>
      <c r="I22" s="49">
        <f>SUM(I16:I21)</f>
        <v>100.00000000000001</v>
      </c>
      <c r="J22" s="55"/>
    </row>
    <row r="23" spans="4:16" ht="15" customHeight="1" x14ac:dyDescent="0.2">
      <c r="D23" s="94">
        <f>SUM(F14/D14)*100</f>
        <v>72.933396315540861</v>
      </c>
      <c r="G23" s="47"/>
      <c r="I23" s="49">
        <f>SUM(I12/I14)*100</f>
        <v>3.7762973260827004</v>
      </c>
      <c r="J23" s="55"/>
    </row>
    <row r="24" spans="4:16" ht="15" customHeight="1" x14ac:dyDescent="0.2">
      <c r="D24" s="530">
        <f>SUM(D7/D13)*100</f>
        <v>36.916003976143145</v>
      </c>
      <c r="G24" s="47"/>
      <c r="I24" s="50"/>
    </row>
    <row r="25" spans="4:16" ht="15.75" customHeight="1" x14ac:dyDescent="0.2">
      <c r="D25" s="530">
        <f>SUM(D8/D13)*100</f>
        <v>25.627485089463221</v>
      </c>
      <c r="G25" s="47"/>
    </row>
    <row r="26" spans="4:16" ht="18" customHeight="1" x14ac:dyDescent="0.2">
      <c r="D26" s="94">
        <f>SUM(D10/D13)*100</f>
        <v>10.561630218687872</v>
      </c>
    </row>
    <row r="27" spans="4:16" ht="15" customHeight="1" x14ac:dyDescent="0.2">
      <c r="D27" s="530">
        <f>SUM(D11/D13)*100</f>
        <v>6.9458250497017895</v>
      </c>
    </row>
    <row r="28" spans="4:16" x14ac:dyDescent="0.2">
      <c r="D28" s="530">
        <f>SUM(D9/D13)*100</f>
        <v>10.723161033797217</v>
      </c>
    </row>
    <row r="29" spans="4:16" x14ac:dyDescent="0.2">
      <c r="D29" s="530">
        <f>SUM(D6/D13)*100</f>
        <v>9.2258946322067583</v>
      </c>
    </row>
    <row r="30" spans="4:16" x14ac:dyDescent="0.2">
      <c r="D30" s="45">
        <v>72059</v>
      </c>
    </row>
    <row r="31" spans="4:16" x14ac:dyDescent="0.2">
      <c r="D31" s="94">
        <f>SUM(F13/D30)*100</f>
        <v>16.115960532341553</v>
      </c>
    </row>
    <row r="32" spans="4:16" ht="63" customHeight="1" x14ac:dyDescent="0.2"/>
    <row r="35" ht="15" customHeight="1" x14ac:dyDescent="0.2"/>
    <row r="36" ht="18.75" customHeight="1" x14ac:dyDescent="0.2"/>
    <row r="37" ht="15.75" customHeight="1" x14ac:dyDescent="0.2"/>
    <row r="38" ht="14.25" customHeight="1" x14ac:dyDescent="0.2"/>
    <row r="39" ht="12" customHeight="1" x14ac:dyDescent="0.2"/>
  </sheetData>
  <mergeCells count="1">
    <mergeCell ref="C2:C5"/>
  </mergeCells>
  <pageMargins left="0.7" right="0.7" top="0.75" bottom="0.75" header="0.3" footer="0.3"/>
  <pageSetup paperSize="9" scale="5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B1:K41"/>
  <sheetViews>
    <sheetView zoomScale="80" zoomScaleNormal="80" workbookViewId="0">
      <selection activeCell="B1" sqref="B1"/>
    </sheetView>
  </sheetViews>
  <sheetFormatPr defaultRowHeight="14.25" x14ac:dyDescent="0.2"/>
  <cols>
    <col min="1" max="1" width="1.85546875" style="44" customWidth="1"/>
    <col min="2" max="2" width="4.42578125" style="44" customWidth="1"/>
    <col min="3" max="3" width="67.140625" style="44" customWidth="1"/>
    <col min="4" max="4" width="12.85546875" style="44" customWidth="1"/>
    <col min="5" max="5" width="10.85546875" style="44" customWidth="1"/>
    <col min="6" max="6" width="11.42578125" style="44" customWidth="1"/>
    <col min="7" max="7" width="14.85546875" style="44" customWidth="1"/>
    <col min="8" max="8" width="17" style="44" customWidth="1"/>
    <col min="9" max="9" width="11.5703125" style="44" customWidth="1"/>
    <col min="10" max="10" width="14.5703125" style="44" customWidth="1"/>
    <col min="11" max="11" width="12.42578125" style="44" customWidth="1"/>
    <col min="12" max="12" width="4" style="44" customWidth="1"/>
    <col min="13" max="16384" width="9.140625" style="44"/>
  </cols>
  <sheetData>
    <row r="1" spans="2:11" ht="15" x14ac:dyDescent="0.2">
      <c r="B1" s="96" t="s">
        <v>261</v>
      </c>
      <c r="E1" s="53"/>
      <c r="G1" s="382" t="s">
        <v>250</v>
      </c>
      <c r="H1" s="383" t="s">
        <v>248</v>
      </c>
      <c r="I1" s="45"/>
      <c r="J1" s="45"/>
    </row>
    <row r="2" spans="2:11" x14ac:dyDescent="0.2">
      <c r="B2" s="363"/>
      <c r="C2" s="763" t="s">
        <v>296</v>
      </c>
      <c r="D2" s="358"/>
      <c r="E2" s="358"/>
      <c r="F2" s="358"/>
      <c r="G2" s="358"/>
      <c r="H2" s="358"/>
      <c r="I2" s="358"/>
      <c r="J2" s="359"/>
      <c r="K2" s="359"/>
    </row>
    <row r="3" spans="2:11" ht="68.25" customHeight="1" x14ac:dyDescent="0.2">
      <c r="B3" s="356"/>
      <c r="C3" s="764"/>
      <c r="D3" s="357" t="s">
        <v>102</v>
      </c>
      <c r="E3" s="357" t="s">
        <v>103</v>
      </c>
      <c r="F3" s="357" t="s">
        <v>104</v>
      </c>
      <c r="G3" s="367" t="s">
        <v>105</v>
      </c>
      <c r="H3" s="357" t="s">
        <v>251</v>
      </c>
      <c r="I3" s="357" t="s">
        <v>158</v>
      </c>
      <c r="J3" s="368" t="s">
        <v>155</v>
      </c>
      <c r="K3" s="360" t="s">
        <v>106</v>
      </c>
    </row>
    <row r="4" spans="2:11" x14ac:dyDescent="0.2">
      <c r="B4" s="364" t="s">
        <v>100</v>
      </c>
      <c r="C4" s="764"/>
      <c r="D4" s="357"/>
      <c r="E4" s="357"/>
      <c r="F4" s="357"/>
      <c r="G4" s="357"/>
      <c r="H4" s="357"/>
      <c r="I4" s="357"/>
      <c r="J4" s="369"/>
      <c r="K4" s="360"/>
    </row>
    <row r="5" spans="2:11" x14ac:dyDescent="0.2">
      <c r="B5" s="365"/>
      <c r="C5" s="765"/>
      <c r="D5" s="361"/>
      <c r="E5" s="361"/>
      <c r="F5" s="361"/>
      <c r="G5" s="361"/>
      <c r="H5" s="361"/>
      <c r="I5" s="361"/>
      <c r="J5" s="362"/>
      <c r="K5" s="362"/>
    </row>
    <row r="6" spans="2:11" ht="16.5" customHeight="1" x14ac:dyDescent="0.2">
      <c r="B6" s="371">
        <v>1</v>
      </c>
      <c r="C6" s="373" t="s">
        <v>2</v>
      </c>
      <c r="D6" s="51">
        <f>SUM('z16'!F6)</f>
        <v>3507</v>
      </c>
      <c r="E6" s="51">
        <f>SUM('z16'!G6)</f>
        <v>3183</v>
      </c>
      <c r="F6" s="51">
        <f>SUM('z16'!H6)</f>
        <v>1606</v>
      </c>
      <c r="G6" s="374">
        <f>SUM(F6/E6)*100</f>
        <v>50.45554508325479</v>
      </c>
      <c r="H6" s="374">
        <f>SUM(J6/F6)</f>
        <v>5629.4520547945194</v>
      </c>
      <c r="I6" s="374">
        <f>SUM('z16'!E6)</f>
        <v>9040.8999999999978</v>
      </c>
      <c r="J6" s="372">
        <f>SUM(I6*1000)</f>
        <v>9040899.9999999981</v>
      </c>
      <c r="K6" s="370">
        <f>SUM(J6/D6)</f>
        <v>2577.9583689763326</v>
      </c>
    </row>
    <row r="7" spans="2:11" ht="15" customHeight="1" x14ac:dyDescent="0.2">
      <c r="B7" s="125">
        <v>2</v>
      </c>
      <c r="C7" s="338" t="s">
        <v>1</v>
      </c>
      <c r="D7" s="46">
        <f>SUM('z16'!F5)</f>
        <v>18800</v>
      </c>
      <c r="E7" s="46">
        <f>SUM('z16'!G5)</f>
        <v>13100</v>
      </c>
      <c r="F7" s="46">
        <f>SUM('z16'!H5)</f>
        <v>10734</v>
      </c>
      <c r="G7" s="126">
        <f t="shared" ref="G7:G11" si="0">SUM(F7/E7)*100</f>
        <v>81.938931297709928</v>
      </c>
      <c r="H7" s="126">
        <f t="shared" ref="H7:H11" si="1">SUM(J7/F7)</f>
        <v>9326.86789640395</v>
      </c>
      <c r="I7" s="126">
        <f>SUM('z16'!E5)</f>
        <v>100114.6</v>
      </c>
      <c r="J7" s="305">
        <f t="shared" ref="J7:J11" si="2">SUM(I7*1000)</f>
        <v>100114600</v>
      </c>
      <c r="K7" s="326">
        <f>SUM(J7/D7)</f>
        <v>5325.244680851064</v>
      </c>
    </row>
    <row r="8" spans="2:11" ht="15" customHeight="1" x14ac:dyDescent="0.2">
      <c r="B8" s="125">
        <v>3</v>
      </c>
      <c r="C8" s="338" t="s">
        <v>3</v>
      </c>
      <c r="D8" s="46">
        <f>SUM('z16'!F7)</f>
        <v>5421</v>
      </c>
      <c r="E8" s="46">
        <f>SUM('z16'!G7)</f>
        <v>3941</v>
      </c>
      <c r="F8" s="46">
        <f>SUM('z16'!H7)</f>
        <v>3403</v>
      </c>
      <c r="G8" s="126">
        <f t="shared" si="0"/>
        <v>86.348642476528809</v>
      </c>
      <c r="H8" s="126">
        <f t="shared" si="1"/>
        <v>6491.8307375844843</v>
      </c>
      <c r="I8" s="126">
        <f>SUM('z16'!E7)</f>
        <v>22091.7</v>
      </c>
      <c r="J8" s="305">
        <f t="shared" si="2"/>
        <v>22091700</v>
      </c>
      <c r="K8" s="326">
        <f>SUM(J8/D8)</f>
        <v>4075.2075262866629</v>
      </c>
    </row>
    <row r="9" spans="2:11" ht="18.75" customHeight="1" x14ac:dyDescent="0.2">
      <c r="B9" s="125">
        <v>4</v>
      </c>
      <c r="C9" s="338" t="s">
        <v>4</v>
      </c>
      <c r="D9" s="46">
        <f>SUM('z16'!F8)</f>
        <v>2615</v>
      </c>
      <c r="E9" s="46">
        <f>SUM('z16'!G8)</f>
        <v>2277</v>
      </c>
      <c r="F9" s="46">
        <f>SUM('z16'!H8)</f>
        <v>1955</v>
      </c>
      <c r="G9" s="126">
        <f t="shared" si="0"/>
        <v>85.858585858585855</v>
      </c>
      <c r="H9" s="126">
        <f t="shared" si="1"/>
        <v>12866.240409207159</v>
      </c>
      <c r="I9" s="126">
        <f>SUM('z16'!E8)</f>
        <v>25153.499999999996</v>
      </c>
      <c r="J9" s="305">
        <f t="shared" si="2"/>
        <v>25153499.999999996</v>
      </c>
      <c r="K9" s="326">
        <f t="shared" ref="K9:K11" si="3">SUM(J9/D9)</f>
        <v>9618.929254302102</v>
      </c>
    </row>
    <row r="10" spans="2:11" ht="15.75" customHeight="1" x14ac:dyDescent="0.2">
      <c r="B10" s="125">
        <v>5</v>
      </c>
      <c r="C10" s="338" t="s">
        <v>56</v>
      </c>
      <c r="D10" s="46">
        <f>SUM('z16'!F22)</f>
        <v>2979</v>
      </c>
      <c r="E10" s="46">
        <f>SUM('z16'!G22)</f>
        <v>2842</v>
      </c>
      <c r="F10" s="46">
        <f>SUM('z16'!H22)</f>
        <v>2688</v>
      </c>
      <c r="G10" s="126">
        <f t="shared" si="0"/>
        <v>94.581280788177338</v>
      </c>
      <c r="H10" s="126">
        <f t="shared" si="1"/>
        <v>22270.498511904763</v>
      </c>
      <c r="I10" s="126">
        <f>SUM('z16'!E22)</f>
        <v>59863.100000000006</v>
      </c>
      <c r="J10" s="305">
        <f t="shared" si="2"/>
        <v>59863100.000000007</v>
      </c>
      <c r="K10" s="326">
        <f t="shared" si="3"/>
        <v>20095.031889895941</v>
      </c>
    </row>
    <row r="11" spans="2:11" ht="18" customHeight="1" x14ac:dyDescent="0.2">
      <c r="B11" s="333">
        <v>6</v>
      </c>
      <c r="C11" s="339" t="s">
        <v>57</v>
      </c>
      <c r="D11" s="52">
        <f>SUM('z16'!F24)</f>
        <v>2450</v>
      </c>
      <c r="E11" s="52">
        <f>SUM('z16'!G24)</f>
        <v>2969</v>
      </c>
      <c r="F11" s="52">
        <f>SUM('z16'!H24)</f>
        <v>2425</v>
      </c>
      <c r="G11" s="354">
        <f t="shared" si="0"/>
        <v>81.677332435163351</v>
      </c>
      <c r="H11" s="354">
        <f t="shared" si="1"/>
        <v>20028.659793814433</v>
      </c>
      <c r="I11" s="354">
        <f>SUM('z16'!E24)</f>
        <v>48569.5</v>
      </c>
      <c r="J11" s="336">
        <f t="shared" si="2"/>
        <v>48569500</v>
      </c>
      <c r="K11" s="329">
        <f t="shared" si="3"/>
        <v>19824.285714285714</v>
      </c>
    </row>
    <row r="12" spans="2:11" ht="18" customHeight="1" x14ac:dyDescent="0.2">
      <c r="B12" s="333">
        <v>7</v>
      </c>
      <c r="C12" s="339" t="s">
        <v>11</v>
      </c>
      <c r="D12" s="52">
        <f>SUM('z16'!F17)</f>
        <v>998</v>
      </c>
      <c r="E12" s="52">
        <f>SUM('z16'!G17)</f>
        <v>725</v>
      </c>
      <c r="F12" s="52">
        <f>SUM('z16'!H17)</f>
        <v>658</v>
      </c>
      <c r="G12" s="354">
        <f>SUM(F12/E12)*100</f>
        <v>90.758620689655174</v>
      </c>
      <c r="H12" s="354">
        <f>SUM(J12/F12)</f>
        <v>10738.145896656533</v>
      </c>
      <c r="I12" s="354">
        <f>SUM('z16'!E17)</f>
        <v>7065.6999999999989</v>
      </c>
      <c r="J12" s="336">
        <f>SUM(I12*1000)</f>
        <v>7065699.9999999991</v>
      </c>
      <c r="K12" s="329">
        <f>SUM(J12/D12)</f>
        <v>7079.8597194388767</v>
      </c>
    </row>
    <row r="13" spans="2:11" ht="15" customHeight="1" x14ac:dyDescent="0.2">
      <c r="B13" s="376">
        <v>8</v>
      </c>
      <c r="C13" s="377" t="s">
        <v>280</v>
      </c>
      <c r="D13" s="378">
        <f>SUM(D6:D11)</f>
        <v>35772</v>
      </c>
      <c r="E13" s="378">
        <f>SUM(E6:E11)</f>
        <v>28312</v>
      </c>
      <c r="F13" s="378">
        <f>SUM(F6:F11)</f>
        <v>22811</v>
      </c>
      <c r="G13" s="379">
        <f>SUM(F13/E13)*100</f>
        <v>80.570076292738051</v>
      </c>
      <c r="H13" s="379">
        <f>SUM(J13/F13)</f>
        <v>11609.894349217486</v>
      </c>
      <c r="I13" s="379">
        <f>SUM(I6:I11)</f>
        <v>264833.30000000005</v>
      </c>
      <c r="J13" s="380">
        <f>SUM(I13*1000)</f>
        <v>264833300.00000006</v>
      </c>
      <c r="K13" s="381">
        <f>SUM(J13/D13)</f>
        <v>7403.3685564128382</v>
      </c>
    </row>
    <row r="14" spans="2:11" ht="15" customHeight="1" x14ac:dyDescent="0.2">
      <c r="B14" s="375">
        <v>9</v>
      </c>
      <c r="C14" s="373" t="s">
        <v>284</v>
      </c>
      <c r="D14" s="51">
        <f>SUM(D6:D12)</f>
        <v>36770</v>
      </c>
      <c r="E14" s="51">
        <f>SUM(E6:E12)</f>
        <v>29037</v>
      </c>
      <c r="F14" s="51">
        <f>SUM(F6:F12)</f>
        <v>23469</v>
      </c>
      <c r="G14" s="374">
        <f>SUM(F14/E14)*100</f>
        <v>80.824465337328235</v>
      </c>
      <c r="H14" s="374">
        <f>SUM(J14/F14)</f>
        <v>11585.453150965106</v>
      </c>
      <c r="I14" s="374">
        <f>SUM(I6:I12)</f>
        <v>271899.00000000006</v>
      </c>
      <c r="J14" s="372">
        <f>SUM(I14*1000)</f>
        <v>271899000.00000006</v>
      </c>
      <c r="K14" s="370">
        <f>SUM(J14/D14)</f>
        <v>7394.5879793309778</v>
      </c>
    </row>
    <row r="16" spans="2:11" x14ac:dyDescent="0.2">
      <c r="D16" s="475">
        <v>113103.33333333333</v>
      </c>
      <c r="I16" s="49"/>
      <c r="J16" s="48"/>
    </row>
    <row r="17" spans="4:10" x14ac:dyDescent="0.2">
      <c r="D17" s="94">
        <f>SUM(D13)/D16*100</f>
        <v>31.627715068816126</v>
      </c>
      <c r="I17" s="49"/>
      <c r="J17" s="50"/>
    </row>
    <row r="18" spans="4:10" x14ac:dyDescent="0.2">
      <c r="D18" s="94">
        <f>SUM(D6:D11)</f>
        <v>35772</v>
      </c>
    </row>
    <row r="19" spans="4:10" x14ac:dyDescent="0.2">
      <c r="D19" s="94">
        <f>SUM(E6:E11)</f>
        <v>28312</v>
      </c>
    </row>
    <row r="20" spans="4:10" x14ac:dyDescent="0.2">
      <c r="D20" s="94">
        <f>SUM(D19)/D18*100</f>
        <v>79.145700547914572</v>
      </c>
    </row>
    <row r="21" spans="4:10" ht="15" x14ac:dyDescent="0.2">
      <c r="D21" s="94">
        <f>SUM(D7)/D13*100</f>
        <v>52.555071005255506</v>
      </c>
      <c r="F21" s="54"/>
    </row>
    <row r="22" spans="4:10" x14ac:dyDescent="0.2">
      <c r="F22" s="47"/>
    </row>
    <row r="23" spans="4:10" x14ac:dyDescent="0.2">
      <c r="F23" s="47"/>
    </row>
    <row r="39" spans="6:6" ht="15" x14ac:dyDescent="0.2">
      <c r="F39" s="54"/>
    </row>
    <row r="40" spans="6:6" x14ac:dyDescent="0.2">
      <c r="F40" s="47"/>
    </row>
    <row r="41" spans="6:6" x14ac:dyDescent="0.2">
      <c r="F41" s="47"/>
    </row>
  </sheetData>
  <mergeCells count="1">
    <mergeCell ref="C2:C5"/>
  </mergeCells>
  <pageMargins left="0.7" right="0.7" top="0.75" bottom="0.75" header="0.3" footer="0.3"/>
  <pageSetup paperSize="9" scale="7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B1:K35"/>
  <sheetViews>
    <sheetView zoomScale="80" zoomScaleNormal="80" workbookViewId="0">
      <selection activeCell="B1" sqref="B1"/>
    </sheetView>
  </sheetViews>
  <sheetFormatPr defaultRowHeight="14.25" x14ac:dyDescent="0.2"/>
  <cols>
    <col min="1" max="1" width="2" style="44" customWidth="1"/>
    <col min="2" max="2" width="4.28515625" style="44" customWidth="1"/>
    <col min="3" max="3" width="67.28515625" style="44" customWidth="1"/>
    <col min="4" max="4" width="13.7109375" style="44" customWidth="1"/>
    <col min="5" max="5" width="9.5703125" style="44" customWidth="1"/>
    <col min="6" max="6" width="10.140625" style="44" customWidth="1"/>
    <col min="7" max="7" width="15.28515625" style="44" customWidth="1"/>
    <col min="8" max="8" width="15" style="44" customWidth="1"/>
    <col min="9" max="9" width="11.85546875" style="44" customWidth="1"/>
    <col min="10" max="10" width="14.85546875" style="44" customWidth="1"/>
    <col min="11" max="11" width="12.28515625" style="44" customWidth="1"/>
    <col min="12" max="12" width="4" style="44" customWidth="1"/>
    <col min="13" max="16384" width="9.140625" style="44"/>
  </cols>
  <sheetData>
    <row r="1" spans="2:11" ht="15" x14ac:dyDescent="0.2">
      <c r="B1" s="96" t="s">
        <v>262</v>
      </c>
      <c r="E1" s="53"/>
      <c r="G1" s="319" t="s">
        <v>250</v>
      </c>
      <c r="H1" s="320" t="s">
        <v>248</v>
      </c>
      <c r="I1" s="45"/>
      <c r="J1" s="45"/>
    </row>
    <row r="2" spans="2:11" x14ac:dyDescent="0.2">
      <c r="B2" s="363"/>
      <c r="C2" s="763" t="s">
        <v>296</v>
      </c>
      <c r="D2" s="358"/>
      <c r="E2" s="358"/>
      <c r="F2" s="358"/>
      <c r="G2" s="358"/>
      <c r="H2" s="358"/>
      <c r="I2" s="358"/>
      <c r="J2" s="359"/>
      <c r="K2" s="359"/>
    </row>
    <row r="3" spans="2:11" ht="66" customHeight="1" x14ac:dyDescent="0.2">
      <c r="B3" s="356"/>
      <c r="C3" s="764"/>
      <c r="D3" s="357" t="s">
        <v>102</v>
      </c>
      <c r="E3" s="357" t="s">
        <v>103</v>
      </c>
      <c r="F3" s="357" t="s">
        <v>104</v>
      </c>
      <c r="G3" s="367" t="s">
        <v>105</v>
      </c>
      <c r="H3" s="357" t="s">
        <v>251</v>
      </c>
      <c r="I3" s="357" t="s">
        <v>158</v>
      </c>
      <c r="J3" s="368" t="s">
        <v>155</v>
      </c>
      <c r="K3" s="360" t="s">
        <v>106</v>
      </c>
    </row>
    <row r="4" spans="2:11" x14ac:dyDescent="0.2">
      <c r="B4" s="364" t="s">
        <v>100</v>
      </c>
      <c r="C4" s="764"/>
      <c r="D4" s="357"/>
      <c r="E4" s="357"/>
      <c r="F4" s="357"/>
      <c r="G4" s="357"/>
      <c r="H4" s="357"/>
      <c r="I4" s="357"/>
      <c r="J4" s="369"/>
      <c r="K4" s="360"/>
    </row>
    <row r="5" spans="2:11" x14ac:dyDescent="0.2">
      <c r="B5" s="365"/>
      <c r="C5" s="765"/>
      <c r="D5" s="361"/>
      <c r="E5" s="361"/>
      <c r="F5" s="361"/>
      <c r="G5" s="361"/>
      <c r="H5" s="361"/>
      <c r="I5" s="361"/>
      <c r="J5" s="362"/>
      <c r="K5" s="362"/>
    </row>
    <row r="6" spans="2:11" x14ac:dyDescent="0.2">
      <c r="B6" s="125">
        <v>1</v>
      </c>
      <c r="C6" s="338" t="s">
        <v>2</v>
      </c>
      <c r="D6" s="46">
        <f>SUM('z15'!F6)</f>
        <v>4526</v>
      </c>
      <c r="E6" s="46">
        <f>SUM('z15'!G6)</f>
        <v>4298</v>
      </c>
      <c r="F6" s="46">
        <f>SUM('z15'!H6)</f>
        <v>1780</v>
      </c>
      <c r="G6" s="126">
        <f>SUM(F6/E6)*100</f>
        <v>41.414611447184733</v>
      </c>
      <c r="H6" s="126">
        <f>SUM(J6/F6)</f>
        <v>6747.0224719101107</v>
      </c>
      <c r="I6" s="126">
        <f>SUM('z15'!E6)</f>
        <v>12009.699999999997</v>
      </c>
      <c r="J6" s="305">
        <f>SUM(I6*1000)</f>
        <v>12009699.999999996</v>
      </c>
      <c r="K6" s="326">
        <f>SUM(J6/D6)</f>
        <v>2653.4909412284569</v>
      </c>
    </row>
    <row r="7" spans="2:11" x14ac:dyDescent="0.2">
      <c r="B7" s="125">
        <v>2</v>
      </c>
      <c r="C7" s="338" t="s">
        <v>1</v>
      </c>
      <c r="D7" s="46">
        <f>SUM('z15'!F5)</f>
        <v>18425</v>
      </c>
      <c r="E7" s="46">
        <f>SUM('z15'!G5)</f>
        <v>12626</v>
      </c>
      <c r="F7" s="46">
        <f>SUM('z15'!H5)</f>
        <v>9873</v>
      </c>
      <c r="G7" s="126">
        <f t="shared" ref="G7:G13" si="0">SUM(F7/E7)*100</f>
        <v>78.195786472358634</v>
      </c>
      <c r="H7" s="126">
        <f t="shared" ref="H7:H11" si="1">SUM(J7/F7)</f>
        <v>10493.193558189001</v>
      </c>
      <c r="I7" s="126">
        <f>SUM('z15'!E5)</f>
        <v>103599.30000000002</v>
      </c>
      <c r="J7" s="305">
        <f t="shared" ref="J7:J11" si="2">SUM(I7*1000)</f>
        <v>103599300.00000001</v>
      </c>
      <c r="K7" s="326">
        <f>SUM(J7/D7)</f>
        <v>5622.7571234735424</v>
      </c>
    </row>
    <row r="8" spans="2:11" x14ac:dyDescent="0.2">
      <c r="B8" s="125">
        <v>3</v>
      </c>
      <c r="C8" s="338" t="s">
        <v>3</v>
      </c>
      <c r="D8" s="46">
        <f>SUM('z15'!F7)</f>
        <v>5321</v>
      </c>
      <c r="E8" s="46">
        <f>SUM('z15'!G7)</f>
        <v>2570</v>
      </c>
      <c r="F8" s="46">
        <f>SUM('z15'!H7)</f>
        <v>2264</v>
      </c>
      <c r="G8" s="126">
        <f t="shared" si="0"/>
        <v>88.093385214007782</v>
      </c>
      <c r="H8" s="126">
        <f t="shared" si="1"/>
        <v>10343.286219081272</v>
      </c>
      <c r="I8" s="126">
        <f>SUM('z15'!E7)</f>
        <v>23417.200000000001</v>
      </c>
      <c r="J8" s="305">
        <f t="shared" si="2"/>
        <v>23417200</v>
      </c>
      <c r="K8" s="326">
        <f>SUM(J8/D8)</f>
        <v>4400.9020860740466</v>
      </c>
    </row>
    <row r="9" spans="2:11" x14ac:dyDescent="0.2">
      <c r="B9" s="125">
        <v>4</v>
      </c>
      <c r="C9" s="338" t="s">
        <v>4</v>
      </c>
      <c r="D9" s="46">
        <f>SUM('z15'!F8)</f>
        <v>2335</v>
      </c>
      <c r="E9" s="46">
        <f>SUM('z15'!G8)</f>
        <v>2030</v>
      </c>
      <c r="F9" s="46">
        <f>SUM('z15'!H8)</f>
        <v>1606</v>
      </c>
      <c r="G9" s="126">
        <f t="shared" si="0"/>
        <v>79.113300492610833</v>
      </c>
      <c r="H9" s="126">
        <f t="shared" si="1"/>
        <v>12558.841843088418</v>
      </c>
      <c r="I9" s="126">
        <f>SUM('z15'!E8)</f>
        <v>20169.5</v>
      </c>
      <c r="J9" s="305">
        <f t="shared" si="2"/>
        <v>20169500</v>
      </c>
      <c r="K9" s="326">
        <f t="shared" ref="K9:K11" si="3">SUM(J9/D9)</f>
        <v>8637.9014989293355</v>
      </c>
    </row>
    <row r="10" spans="2:11" x14ac:dyDescent="0.2">
      <c r="B10" s="125">
        <v>5</v>
      </c>
      <c r="C10" s="338" t="s">
        <v>56</v>
      </c>
      <c r="D10" s="46">
        <f>SUM('z15'!F22)</f>
        <v>2864</v>
      </c>
      <c r="E10" s="46">
        <f>SUM('z15'!G22)</f>
        <v>3016</v>
      </c>
      <c r="F10" s="46">
        <f>SUM('z15'!H22)</f>
        <v>2721</v>
      </c>
      <c r="G10" s="126">
        <f t="shared" si="0"/>
        <v>90.218832891246677</v>
      </c>
      <c r="H10" s="126">
        <f t="shared" si="1"/>
        <v>21102.793090775453</v>
      </c>
      <c r="I10" s="126">
        <f>SUM('z15'!E22)</f>
        <v>57420.700000000004</v>
      </c>
      <c r="J10" s="305">
        <f t="shared" si="2"/>
        <v>57420700.000000007</v>
      </c>
      <c r="K10" s="326">
        <f t="shared" si="3"/>
        <v>20049.127094972071</v>
      </c>
    </row>
    <row r="11" spans="2:11" ht="15" customHeight="1" x14ac:dyDescent="0.2">
      <c r="B11" s="333">
        <v>6</v>
      </c>
      <c r="C11" s="339" t="s">
        <v>57</v>
      </c>
      <c r="D11" s="52">
        <f>SUM('z15'!F24)</f>
        <v>3187</v>
      </c>
      <c r="E11" s="52">
        <f>SUM('z15'!G24)</f>
        <v>2387</v>
      </c>
      <c r="F11" s="52">
        <f>SUM('z15'!H24)</f>
        <v>1763</v>
      </c>
      <c r="G11" s="354">
        <f t="shared" si="0"/>
        <v>73.858399664851277</v>
      </c>
      <c r="H11" s="354">
        <f t="shared" si="1"/>
        <v>34958.30969937607</v>
      </c>
      <c r="I11" s="354">
        <f>SUM('z15'!E24)</f>
        <v>61631.500000000007</v>
      </c>
      <c r="J11" s="336">
        <f t="shared" si="2"/>
        <v>61631500.000000007</v>
      </c>
      <c r="K11" s="329">
        <f t="shared" si="3"/>
        <v>19338.406024474429</v>
      </c>
    </row>
    <row r="12" spans="2:11" ht="15" customHeight="1" x14ac:dyDescent="0.2">
      <c r="B12" s="333">
        <v>7</v>
      </c>
      <c r="C12" s="339" t="s">
        <v>11</v>
      </c>
      <c r="D12" s="52">
        <f>SUM('z15'!F17)</f>
        <v>601</v>
      </c>
      <c r="E12" s="52">
        <f>SUM('z15'!G17)</f>
        <v>269</v>
      </c>
      <c r="F12" s="52">
        <f>SUM('z15'!H17)</f>
        <v>249</v>
      </c>
      <c r="G12" s="354">
        <f>SUM(F12/E12)*100</f>
        <v>92.565055762081784</v>
      </c>
      <c r="H12" s="354">
        <f>SUM(J12/F12)</f>
        <v>16274.69879518072</v>
      </c>
      <c r="I12" s="354">
        <f>SUM('z15'!E17)</f>
        <v>4052.3999999999996</v>
      </c>
      <c r="J12" s="336">
        <f>SUM(I12*1000)</f>
        <v>4052399.9999999995</v>
      </c>
      <c r="K12" s="329">
        <f>SUM(J12/D12)</f>
        <v>6742.7620632279522</v>
      </c>
    </row>
    <row r="13" spans="2:11" x14ac:dyDescent="0.2">
      <c r="B13" s="376">
        <v>8</v>
      </c>
      <c r="C13" s="377" t="s">
        <v>280</v>
      </c>
      <c r="D13" s="378">
        <f>SUM(D6:D11)</f>
        <v>36658</v>
      </c>
      <c r="E13" s="378">
        <f>SUM(E6:E11)</f>
        <v>26927</v>
      </c>
      <c r="F13" s="378">
        <f>SUM(F6:F11)</f>
        <v>20007</v>
      </c>
      <c r="G13" s="379">
        <f t="shared" si="0"/>
        <v>74.300887584951909</v>
      </c>
      <c r="H13" s="379">
        <f>SUM(J13/F13)</f>
        <v>13907.527365422102</v>
      </c>
      <c r="I13" s="379">
        <f>SUM(I6:I11)</f>
        <v>278247.90000000002</v>
      </c>
      <c r="J13" s="380">
        <f>SUM(I13*1000)</f>
        <v>278247900</v>
      </c>
      <c r="K13" s="381">
        <f>SUM(J13/D13)</f>
        <v>7590.373179115064</v>
      </c>
    </row>
    <row r="14" spans="2:11" x14ac:dyDescent="0.2">
      <c r="B14" s="375">
        <v>9</v>
      </c>
      <c r="C14" s="373" t="s">
        <v>284</v>
      </c>
      <c r="D14" s="51">
        <f>SUM(D6:D12)</f>
        <v>37259</v>
      </c>
      <c r="E14" s="51">
        <f>SUM(E6:E12)</f>
        <v>27196</v>
      </c>
      <c r="F14" s="51">
        <f>SUM(F6:F12)</f>
        <v>20256</v>
      </c>
      <c r="G14" s="374">
        <f>SUM(F14/E14)*100</f>
        <v>74.481541403147517</v>
      </c>
      <c r="H14" s="374">
        <f>SUM(J14/F14)</f>
        <v>13936.626184834126</v>
      </c>
      <c r="I14" s="374">
        <f>SUM(I6:I12)</f>
        <v>282300.30000000005</v>
      </c>
      <c r="J14" s="372">
        <f>SUM(I14*1000)</f>
        <v>282300300.00000006</v>
      </c>
      <c r="K14" s="370">
        <f>SUM(J14/D14)</f>
        <v>7576.700931318609</v>
      </c>
    </row>
    <row r="15" spans="2:11" x14ac:dyDescent="0.2">
      <c r="I15" s="49"/>
      <c r="J15" s="48"/>
    </row>
    <row r="16" spans="2:11" x14ac:dyDescent="0.2">
      <c r="D16" s="475">
        <v>127303.75</v>
      </c>
      <c r="F16" s="47"/>
      <c r="I16" s="49"/>
      <c r="J16" s="50"/>
    </row>
    <row r="17" spans="4:6" x14ac:dyDescent="0.2">
      <c r="D17" s="94">
        <f>SUM(D13)/D16*100</f>
        <v>28.795695334976383</v>
      </c>
      <c r="F17" s="47"/>
    </row>
    <row r="18" spans="4:6" x14ac:dyDescent="0.2">
      <c r="D18" s="94">
        <f>SUM(D6:D11)</f>
        <v>36658</v>
      </c>
    </row>
    <row r="19" spans="4:6" x14ac:dyDescent="0.2">
      <c r="D19" s="94">
        <f>SUM(E6:E11)</f>
        <v>26927</v>
      </c>
    </row>
    <row r="20" spans="4:6" x14ac:dyDescent="0.2">
      <c r="D20" s="94">
        <f>SUM(D19)/D18*100</f>
        <v>73.454634731845715</v>
      </c>
    </row>
    <row r="21" spans="4:6" x14ac:dyDescent="0.2">
      <c r="D21" s="94">
        <f>SUM(D7)/D13*100</f>
        <v>50.261880080746359</v>
      </c>
    </row>
    <row r="33" spans="6:6" ht="15" x14ac:dyDescent="0.2">
      <c r="F33" s="54"/>
    </row>
    <row r="34" spans="6:6" x14ac:dyDescent="0.2">
      <c r="F34" s="47"/>
    </row>
    <row r="35" spans="6:6" x14ac:dyDescent="0.2">
      <c r="F35" s="47"/>
    </row>
  </sheetData>
  <mergeCells count="1">
    <mergeCell ref="C2:C5"/>
  </mergeCells>
  <pageMargins left="0.7" right="0.7" top="0.75" bottom="0.75" header="0.3" footer="0.3"/>
  <pageSetup paperSize="9" scale="7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B25FC-4AEB-4974-A8A8-A9AC27E9C781}">
  <sheetPr>
    <tabColor theme="4" tint="0.59999389629810485"/>
  </sheetPr>
  <dimension ref="B1:R49"/>
  <sheetViews>
    <sheetView zoomScale="80" zoomScaleNormal="80" workbookViewId="0">
      <selection activeCell="B1" sqref="B1"/>
    </sheetView>
  </sheetViews>
  <sheetFormatPr defaultRowHeight="14.25" x14ac:dyDescent="0.2"/>
  <cols>
    <col min="1" max="1" width="3.140625" style="44" customWidth="1"/>
    <col min="2" max="2" width="57.42578125" style="44" customWidth="1"/>
    <col min="3" max="3" width="22.28515625" style="44" customWidth="1"/>
    <col min="4" max="4" width="8.28515625" style="44" customWidth="1"/>
    <col min="5" max="5" width="58" style="44" customWidth="1"/>
    <col min="6" max="6" width="13.7109375" style="44" customWidth="1"/>
    <col min="7" max="7" width="3.85546875" style="44" customWidth="1"/>
    <col min="8" max="8" width="58.140625" style="44" customWidth="1"/>
    <col min="9" max="9" width="15.85546875" style="44" customWidth="1"/>
    <col min="10" max="10" width="7.85546875" style="44" customWidth="1"/>
    <col min="11" max="11" width="3.7109375" style="44" customWidth="1"/>
    <col min="12" max="12" width="12.5703125" style="44" customWidth="1"/>
    <col min="13" max="13" width="4.7109375" style="44" customWidth="1"/>
    <col min="14" max="14" width="12.28515625" style="44" customWidth="1"/>
    <col min="15" max="15" width="11.85546875" style="44" customWidth="1"/>
    <col min="16" max="16" width="9.7109375" style="44" customWidth="1"/>
    <col min="17" max="16384" width="9.140625" style="44"/>
  </cols>
  <sheetData>
    <row r="1" spans="2:18" ht="41.25" customHeight="1" x14ac:dyDescent="0.2">
      <c r="B1" s="422" t="s">
        <v>179</v>
      </c>
      <c r="M1" s="96" t="s">
        <v>488</v>
      </c>
    </row>
    <row r="2" spans="2:18" ht="52.5" customHeight="1" x14ac:dyDescent="0.2">
      <c r="B2" s="405" t="s">
        <v>159</v>
      </c>
      <c r="C2" s="405" t="s">
        <v>285</v>
      </c>
      <c r="M2" s="423" t="s">
        <v>178</v>
      </c>
      <c r="N2" s="407" t="s">
        <v>188</v>
      </c>
      <c r="O2" s="407" t="s">
        <v>189</v>
      </c>
      <c r="P2" s="408" t="str">
        <f>T('18r'!J3)</f>
        <v>KOSZTY w pełnych zł.</v>
      </c>
      <c r="Q2" s="408" t="str">
        <f>T('18r'!I3)</f>
        <v>KOSZTY (w tys. zł.)</v>
      </c>
      <c r="R2" s="408" t="str">
        <f>T('18r'!K3)</f>
        <v>koszt uczestn. 1 os. bezr.</v>
      </c>
    </row>
    <row r="3" spans="2:18" ht="12" customHeight="1" x14ac:dyDescent="0.2">
      <c r="B3" s="291" t="str">
        <f>INDEX('24r'!C6:K14,MATCH(1,N3:N11,0),1)</f>
        <v>Dofinansowanie działalności gospodarczej</v>
      </c>
      <c r="C3" s="409">
        <f>INDEX('25r'!C6:K14,MATCH(1,N3:N11,0),5)</f>
        <v>97.348066298342545</v>
      </c>
      <c r="M3" s="406">
        <v>1</v>
      </c>
      <c r="N3" s="125">
        <f>RANK('25r'!G6,'25r'!G6:G14)</f>
        <v>9</v>
      </c>
      <c r="O3" s="125">
        <f>RANK('25r'!H6,'25r'!H6:H14)</f>
        <v>9</v>
      </c>
      <c r="P3" s="125">
        <f>RANK('25r'!I6,'25r'!I6:I14)</f>
        <v>9</v>
      </c>
      <c r="Q3" s="125">
        <f>RANK('25r'!J6,'25r'!J6:J14)</f>
        <v>9</v>
      </c>
      <c r="R3" s="125">
        <f>RANK('25r'!K6,'25r'!K6:K14)</f>
        <v>9</v>
      </c>
    </row>
    <row r="4" spans="2:18" ht="12" customHeight="1" x14ac:dyDescent="0.2">
      <c r="B4" s="291" t="str">
        <f>INDEX('24r'!C6:K14,MATCH(2,N3:N11,0),1)</f>
        <v>Roboty publiczne</v>
      </c>
      <c r="C4" s="409">
        <f>INDEX('25r'!C6:K14,MATCH(2,N3:N11,0),5)</f>
        <v>96.568977841315231</v>
      </c>
      <c r="M4" s="406">
        <v>2</v>
      </c>
      <c r="N4" s="125">
        <f>RANK('25r'!G7,'25r'!G6:G14)</f>
        <v>8</v>
      </c>
      <c r="O4" s="125">
        <f>RANK('25r'!H7,'25r'!H6:H14)</f>
        <v>6</v>
      </c>
      <c r="P4" s="125">
        <f>RANK('25r'!I7,'25r'!I6:I14)</f>
        <v>3</v>
      </c>
      <c r="Q4" s="125">
        <f>RANK('25r'!J7,'25r'!J6:J14)</f>
        <v>3</v>
      </c>
      <c r="R4" s="125">
        <f>RANK('25r'!K7,'25r'!K6:K14)</f>
        <v>7</v>
      </c>
    </row>
    <row r="5" spans="2:18" ht="12" customHeight="1" x14ac:dyDescent="0.2">
      <c r="B5" s="291" t="str">
        <f>INDEX('24r'!C6:K14,MATCH(3,N3:N11,0),1)</f>
        <v>Prace interwencyjne</v>
      </c>
      <c r="C5" s="409">
        <f>INDEX('25r'!C6:K14,MATCH(3,N3:N11,0),5)</f>
        <v>93.262653898768804</v>
      </c>
      <c r="M5" s="406">
        <v>3</v>
      </c>
      <c r="N5" s="125">
        <f>RANK('25r'!G8,'25r'!G6:G14)</f>
        <v>3</v>
      </c>
      <c r="O5" s="125">
        <f>RANK('25r'!H8,'25r'!H6:H14)</f>
        <v>8</v>
      </c>
      <c r="P5" s="125">
        <f>RANK('25r'!I8,'25r'!I6:I14)</f>
        <v>6</v>
      </c>
      <c r="Q5" s="125">
        <f>RANK('25r'!J8,'25r'!J6:J14)</f>
        <v>6</v>
      </c>
      <c r="R5" s="125">
        <f>RANK('25r'!K8,'25r'!K6:K14)</f>
        <v>8</v>
      </c>
    </row>
    <row r="6" spans="2:18" ht="12.75" customHeight="1" x14ac:dyDescent="0.2">
      <c r="B6" s="291" t="str">
        <f>INDEX('24r'!C6:K14,MATCH(4,N3:N11,0),1)</f>
        <v>Refundacja kosztów wyposażenia lub doposażenia miejsca pracy</v>
      </c>
      <c r="C6" s="409">
        <f>INDEX('25r'!C6:K14,MATCH(4,N3:N11,0),5)</f>
        <v>89.86486486486487</v>
      </c>
      <c r="M6" s="406">
        <v>4</v>
      </c>
      <c r="N6" s="125">
        <f>RANK('25r'!G9,'25r'!G6:G14)</f>
        <v>2</v>
      </c>
      <c r="O6" s="125">
        <f>RANK('25r'!H9,'25r'!H6:H14)</f>
        <v>3</v>
      </c>
      <c r="P6" s="125">
        <f>RANK('25r'!I9,'25r'!I6:I14)</f>
        <v>7</v>
      </c>
      <c r="Q6" s="125">
        <f>RANK('25r'!J9,'25r'!J6:J14)</f>
        <v>7</v>
      </c>
      <c r="R6" s="125">
        <f>RANK('25r'!K9,'25r'!K6:K14)</f>
        <v>3</v>
      </c>
    </row>
    <row r="7" spans="2:18" ht="12" customHeight="1" x14ac:dyDescent="0.2">
      <c r="B7" s="291" t="str">
        <f>INDEX('24r'!C6:K14,MATCH(5,N3:N11,0),1)</f>
        <v>Razem 6 form (do por.)</v>
      </c>
      <c r="C7" s="409">
        <f>INDEX('25r'!C6:K14,MATCH(5,N3:N11,0),5)</f>
        <v>86.175422974176314</v>
      </c>
      <c r="M7" s="406">
        <v>5</v>
      </c>
      <c r="N7" s="125">
        <f>RANK('25r'!G10,'25r'!G6:G14)</f>
        <v>1</v>
      </c>
      <c r="O7" s="125">
        <f>RANK('25r'!H10,'25r'!H6:H14)</f>
        <v>1</v>
      </c>
      <c r="P7" s="125">
        <f>RANK('25r'!I10,'25r'!I6:I14)</f>
        <v>4</v>
      </c>
      <c r="Q7" s="125">
        <f>RANK('25r'!J10,'25r'!J6:J14)</f>
        <v>4</v>
      </c>
      <c r="R7" s="125">
        <f>RANK('25r'!K10,'25r'!K6:K14)</f>
        <v>2</v>
      </c>
    </row>
    <row r="8" spans="2:18" ht="12.75" customHeight="1" x14ac:dyDescent="0.2">
      <c r="B8" s="291" t="str">
        <f>INDEX('24r'!C6:K14,MATCH(6,N3:N11,0),1)</f>
        <v>Razem 7 podstawowych form</v>
      </c>
      <c r="C8" s="409">
        <f>INDEX('25r'!C6:K14,MATCH(6,N3:N11,0),5)</f>
        <v>85.962836662259036</v>
      </c>
      <c r="M8" s="406">
        <v>6</v>
      </c>
      <c r="N8" s="125">
        <f>RANK('25r'!G11,'25r'!G6:G14)</f>
        <v>4</v>
      </c>
      <c r="O8" s="125">
        <f>RANK('25r'!H11,'25r'!H6:H14)</f>
        <v>2</v>
      </c>
      <c r="P8" s="125">
        <f>RANK('25r'!I11,'25r'!I6:I14)</f>
        <v>5</v>
      </c>
      <c r="Q8" s="125">
        <f>RANK('25r'!J11,'25r'!J6:J14)</f>
        <v>5</v>
      </c>
      <c r="R8" s="125">
        <f>RANK('25r'!K11,'25r'!K6:K14)</f>
        <v>1</v>
      </c>
    </row>
    <row r="9" spans="2:18" ht="12" customHeight="1" x14ac:dyDescent="0.2">
      <c r="B9" s="410" t="str">
        <f>INDEX('24r'!C6:K14,MATCH(7,N3:N11,0),1)</f>
        <v>Bon na zasiedlenie</v>
      </c>
      <c r="C9" s="411">
        <f>INDEX('25r'!C6:K14,MATCH(7,N3:N11,0),5)</f>
        <v>82.754759238521842</v>
      </c>
      <c r="M9" s="406">
        <v>7</v>
      </c>
      <c r="N9" s="125">
        <f>RANK('25r'!G12,'25r'!G6:G14)</f>
        <v>7</v>
      </c>
      <c r="O9" s="125">
        <f>RANK('25r'!H12,'25r'!H6:H14)</f>
        <v>7</v>
      </c>
      <c r="P9" s="125">
        <f>RANK('25r'!I12,'25r'!I6:I14)</f>
        <v>8</v>
      </c>
      <c r="Q9" s="125">
        <f>RANK('25r'!J12,'25r'!J6:J14)</f>
        <v>8</v>
      </c>
      <c r="R9" s="125">
        <f>RANK('25r'!K12,'25r'!K6:K14)</f>
        <v>6</v>
      </c>
    </row>
    <row r="10" spans="2:18" ht="12" customHeight="1" x14ac:dyDescent="0.2">
      <c r="B10" s="291" t="str">
        <f>INDEX('24r'!C6:K14,MATCH(8,N3:N11,0),1)</f>
        <v>Staże</v>
      </c>
      <c r="C10" s="409">
        <f>INDEX('25r'!C6:K14,MATCH(8,N3:N11,0),5)</f>
        <v>82.448610797379715</v>
      </c>
      <c r="M10" s="406">
        <v>8</v>
      </c>
      <c r="N10" s="125">
        <f>RANK('25r'!G13,'25r'!G6:G14)</f>
        <v>5</v>
      </c>
      <c r="O10" s="125">
        <f>RANK('25r'!H13,'25r'!H6:H14)</f>
        <v>4</v>
      </c>
      <c r="P10" s="125">
        <f>RANK('25r'!I13,'25r'!I6:I14)</f>
        <v>2</v>
      </c>
      <c r="Q10" s="125">
        <f>RANK('25r'!J13,'25r'!J6:J14)</f>
        <v>2</v>
      </c>
      <c r="R10" s="125">
        <f>RANK('25r'!K13,'25r'!K6:K14)</f>
        <v>4</v>
      </c>
    </row>
    <row r="11" spans="2:18" ht="12" customHeight="1" x14ac:dyDescent="0.2">
      <c r="B11" s="291" t="str">
        <f>INDEX('24r'!C6:K14,MATCH(9,N3:N11,0),1)</f>
        <v>Szkolenia</v>
      </c>
      <c r="C11" s="409">
        <f>INDEX('25r'!C6:K14,MATCH(9,N3:N11,0),5)</f>
        <v>51.242236024844722</v>
      </c>
      <c r="M11" s="406">
        <v>9</v>
      </c>
      <c r="N11" s="125">
        <f>RANK('25r'!G14,'25r'!G6:G14)</f>
        <v>6</v>
      </c>
      <c r="O11" s="125">
        <f>RANK('25r'!H14,'25r'!H6:H14)</f>
        <v>5</v>
      </c>
      <c r="P11" s="125">
        <f>RANK('25r'!I14,'25r'!I6:I14)</f>
        <v>1</v>
      </c>
      <c r="Q11" s="125">
        <f>RANK('25r'!J14,'25r'!J6:J14)</f>
        <v>1</v>
      </c>
      <c r="R11" s="125">
        <f>RANK('25r'!K14,'25r'!K6:K14)</f>
        <v>5</v>
      </c>
    </row>
    <row r="12" spans="2:18" ht="36.75" customHeight="1" x14ac:dyDescent="0.2">
      <c r="B12" s="422" t="s">
        <v>180</v>
      </c>
    </row>
    <row r="13" spans="2:18" ht="43.5" customHeight="1" x14ac:dyDescent="0.2">
      <c r="B13" s="405" t="s">
        <v>159</v>
      </c>
      <c r="C13" s="405" t="s">
        <v>286</v>
      </c>
    </row>
    <row r="14" spans="2:18" ht="12.75" customHeight="1" x14ac:dyDescent="0.2">
      <c r="B14" s="291" t="str">
        <f>INDEX('24r'!C6:K14,MATCH(1,O3:O11,0),1)</f>
        <v>Dofinansowanie działalności gospodarczej</v>
      </c>
      <c r="C14" s="412">
        <f>INDEX('25r'!C6:K14,MATCH(1,O3:O11,0),6)</f>
        <v>34538.310051078312</v>
      </c>
    </row>
    <row r="15" spans="2:18" ht="11.25" customHeight="1" x14ac:dyDescent="0.2">
      <c r="B15" s="291" t="str">
        <f>INDEX('24r'!C6:K14,MATCH(2,O3:O11,0),1)</f>
        <v>Refundacja kosztów wyposażenia lub doposażenia miejsca pracy</v>
      </c>
      <c r="C15" s="412">
        <f>INDEX('25r'!C6:K14,MATCH(2,O3:O11,0),6)</f>
        <v>30333.703615857827</v>
      </c>
    </row>
    <row r="16" spans="2:18" ht="11.25" customHeight="1" x14ac:dyDescent="0.2">
      <c r="B16" s="410" t="str">
        <f>INDEX('24r'!C6:K14,MATCH(3,O3:O11,0),1)</f>
        <v>Roboty publiczne</v>
      </c>
      <c r="C16" s="413">
        <f>INDEX('25r'!C6:K14,MATCH(3,O3:O11,0),6)</f>
        <v>22106.118038490007</v>
      </c>
    </row>
    <row r="17" spans="2:4" ht="10.5" customHeight="1" x14ac:dyDescent="0.2">
      <c r="B17" s="291" t="str">
        <f>INDEX('24r'!C6:K14,MATCH(4,O3:O11,0),1)</f>
        <v>Razem 6 form (do por.)</v>
      </c>
      <c r="C17" s="412">
        <f>INDEX('25r'!C6:K14,MATCH(4,O3:O11,0),6)</f>
        <v>20887.82594161715</v>
      </c>
    </row>
    <row r="18" spans="2:4" ht="10.5" customHeight="1" x14ac:dyDescent="0.2">
      <c r="B18" s="291" t="str">
        <f>INDEX('24r'!C6:K14,MATCH(5,O3:O11,0),1)</f>
        <v>Razem 7 podstawowych form</v>
      </c>
      <c r="C18" s="412">
        <f>INDEX('25r'!C6:K14,MATCH(5,O3:O11,0),6)</f>
        <v>20408.839881800512</v>
      </c>
    </row>
    <row r="19" spans="2:4" ht="11.25" customHeight="1" x14ac:dyDescent="0.2">
      <c r="B19" s="291" t="str">
        <f>INDEX('24r'!C6:K14,MATCH(6,O3:O11,0),1)</f>
        <v>Staże</v>
      </c>
      <c r="C19" s="412">
        <f>INDEX('25r'!C6:K14,MATCH(6,O3:O11,0),6)</f>
        <v>18392.965695890409</v>
      </c>
    </row>
    <row r="20" spans="2:4" ht="10.5" customHeight="1" x14ac:dyDescent="0.2">
      <c r="B20" s="291" t="str">
        <f>INDEX('24r'!C6:K14,MATCH(7,O3:O11,0),1)</f>
        <v>Bon na zasiedlenie</v>
      </c>
      <c r="C20" s="412">
        <f>INDEX('25r'!C6:K14,MATCH(7,O3:O11,0),6)</f>
        <v>12881.823491204332</v>
      </c>
    </row>
    <row r="21" spans="2:4" ht="10.5" customHeight="1" x14ac:dyDescent="0.2">
      <c r="B21" s="291" t="str">
        <f>INDEX('24r'!C6:K14,MATCH(8,O3:O11,0),1)</f>
        <v>Prace interwencyjne</v>
      </c>
      <c r="C21" s="412">
        <f>INDEX('25r'!C6:K14,MATCH(8,O3:O11,0),6)</f>
        <v>12347.160524385772</v>
      </c>
    </row>
    <row r="22" spans="2:4" ht="10.5" customHeight="1" x14ac:dyDescent="0.2">
      <c r="B22" s="291" t="str">
        <f>INDEX('24r'!C6:K14,MATCH(9,O3:O11,0),1)</f>
        <v>Szkolenia</v>
      </c>
      <c r="C22" s="412">
        <f>INDEX('25r'!C6:K14,MATCH(9,O3:O11,0),6)</f>
        <v>10098.810530303028</v>
      </c>
    </row>
    <row r="24" spans="2:4" ht="28.5" x14ac:dyDescent="0.2">
      <c r="B24" s="414" t="s">
        <v>159</v>
      </c>
      <c r="C24" s="415" t="s">
        <v>155</v>
      </c>
      <c r="D24" s="416" t="s">
        <v>287</v>
      </c>
    </row>
    <row r="25" spans="2:4" ht="12.75" customHeight="1" x14ac:dyDescent="0.2">
      <c r="B25" s="291" t="str">
        <f>INDEX('24r'!C6:K14,MATCH(1,Q3:Q11,0),1)</f>
        <v>Razem 7 podstawowych form</v>
      </c>
      <c r="C25" s="417">
        <f>INDEX('25r'!C6:K14,MATCH(1,Q3:Q11,0),8)</f>
        <v>252089990.21999994</v>
      </c>
      <c r="D25" s="130"/>
    </row>
    <row r="26" spans="2:4" ht="11.25" customHeight="1" x14ac:dyDescent="0.2">
      <c r="B26" s="410" t="str">
        <f>INDEX('24r'!C6:K14,MATCH(2,Q3:Q11,0),1)</f>
        <v>Razem 6 form (do por.)</v>
      </c>
      <c r="C26" s="418">
        <f>INDEX('25r'!C6:K14,MATCH(2,Q3:Q11,0),8)</f>
        <v>242570322.65999994</v>
      </c>
      <c r="D26" s="248">
        <f>SUM(C26/C34)*100</f>
        <v>99.999999999999986</v>
      </c>
    </row>
    <row r="27" spans="2:4" ht="12" customHeight="1" x14ac:dyDescent="0.2">
      <c r="B27" s="291" t="str">
        <f>INDEX('24r'!C6:K14,MATCH(3,Q3:Q11,0),1)</f>
        <v>Staże</v>
      </c>
      <c r="C27" s="417">
        <f>INDEX('25r'!C6:K14,MATCH(3,Q3:Q11,0),8)</f>
        <v>67134324.789999992</v>
      </c>
      <c r="D27" s="130">
        <f>SUM(C27/C26)*100</f>
        <v>27.676231805198693</v>
      </c>
    </row>
    <row r="28" spans="2:4" ht="11.25" customHeight="1" x14ac:dyDescent="0.2">
      <c r="B28" s="291" t="str">
        <f>INDEX('24r'!C6:K14,MATCH(4,Q3:Q11,0),1)</f>
        <v>Dofinansowanie działalności gospodarczej</v>
      </c>
      <c r="C28" s="417">
        <f>INDEX('25r'!C6:K14,MATCH(4,Q3:Q11,0),8)</f>
        <v>60856502.309999987</v>
      </c>
      <c r="D28" s="130">
        <f>SUM(C28/C26)*100</f>
        <v>25.088189537225396</v>
      </c>
    </row>
    <row r="29" spans="2:4" ht="12" customHeight="1" x14ac:dyDescent="0.2">
      <c r="B29" s="291" t="str">
        <f>INDEX('24r'!C6:K14,MATCH(5,Q3:Q11,0),1)</f>
        <v>Refundacja kosztów wyposażenia lub doposażenia miejsca pracy</v>
      </c>
      <c r="C29" s="417">
        <f>INDEX('25r'!C6:K14,MATCH(5,Q3:Q11,0),8)</f>
        <v>44378208.390000001</v>
      </c>
      <c r="D29" s="130">
        <f>SUM(C29/C26)*100</f>
        <v>18.294986749967336</v>
      </c>
    </row>
    <row r="30" spans="2:4" ht="12" customHeight="1" x14ac:dyDescent="0.2">
      <c r="B30" s="291" t="str">
        <f>INDEX('24r'!C6:K14,MATCH(6,Q3:Q11,0),1)</f>
        <v>Prace interwencyjne</v>
      </c>
      <c r="C30" s="417">
        <f>INDEX('25r'!C6:K14,MATCH(6,Q3:Q11,0),8)</f>
        <v>33670706.75</v>
      </c>
      <c r="D30" s="130">
        <f>SUM(C30/C26)*100</f>
        <v>13.880802227069935</v>
      </c>
    </row>
    <row r="31" spans="2:4" ht="12.75" customHeight="1" x14ac:dyDescent="0.2">
      <c r="B31" s="291" t="str">
        <f>INDEX('24r'!C6:K14,MATCH(7,Q3:Q11,0),1)</f>
        <v>Roboty publiczne</v>
      </c>
      <c r="C31" s="417">
        <f>INDEX('25r'!C6:K14,MATCH(7,Q3:Q11,0),8)</f>
        <v>29865365.469999999</v>
      </c>
      <c r="D31" s="130">
        <f>SUM(C31/C26)*100</f>
        <v>12.312044252775701</v>
      </c>
    </row>
    <row r="32" spans="2:4" ht="12.75" customHeight="1" x14ac:dyDescent="0.2">
      <c r="B32" s="410" t="str">
        <f>INDEX('24r'!C6:K14,MATCH(8,Q3:Q11,0),1)</f>
        <v>Bon na zasiedlenie</v>
      </c>
      <c r="C32" s="418">
        <f>INDEX('25r'!C6:K14,MATCH(8,Q3:Q11,0),8)</f>
        <v>9519667.5600000005</v>
      </c>
      <c r="D32" s="248"/>
    </row>
    <row r="33" spans="2:5" ht="12.75" customHeight="1" x14ac:dyDescent="0.2">
      <c r="B33" s="291" t="str">
        <f>INDEX('24r'!C6:K14,MATCH(9,Q3:Q11,0),1)</f>
        <v>Szkolenia</v>
      </c>
      <c r="C33" s="417">
        <f>INDEX('25r'!C6:K14,MATCH(9,Q3:Q11,0),8)</f>
        <v>6665214.9499999983</v>
      </c>
      <c r="D33" s="130">
        <f>SUM(C33/C26)*100</f>
        <v>2.7477454277629563</v>
      </c>
    </row>
    <row r="34" spans="2:5" x14ac:dyDescent="0.2">
      <c r="C34" s="196">
        <f>SUM(C27:C31,C33)</f>
        <v>242570322.65999997</v>
      </c>
      <c r="D34" s="94">
        <f>SUM(D27:D31,D33)</f>
        <v>100.00000000000001</v>
      </c>
    </row>
    <row r="35" spans="2:5" ht="28.5" customHeight="1" x14ac:dyDescent="0.2">
      <c r="C35" s="196">
        <f>SUM(C26,C32)</f>
        <v>252089990.21999994</v>
      </c>
    </row>
    <row r="36" spans="2:5" ht="12.75" customHeight="1" x14ac:dyDescent="0.2">
      <c r="B36" s="419" t="s">
        <v>159</v>
      </c>
      <c r="C36" s="420" t="s">
        <v>158</v>
      </c>
      <c r="D36" s="421" t="s">
        <v>287</v>
      </c>
    </row>
    <row r="37" spans="2:5" ht="12.75" customHeight="1" x14ac:dyDescent="0.2">
      <c r="B37" s="291" t="str">
        <f>INDEX('24r'!C6:K14,MATCH(1,P3:P11,0),1)</f>
        <v>Razem 7 podstawowych form</v>
      </c>
      <c r="C37" s="417">
        <f>INDEX('25r'!C6:K14,MATCH(1,P3:P11,0),7)</f>
        <v>252089.99021999995</v>
      </c>
      <c r="D37" s="130"/>
    </row>
    <row r="38" spans="2:5" ht="12" customHeight="1" x14ac:dyDescent="0.2">
      <c r="B38" s="410" t="str">
        <f>INDEX('24r'!C6:K14,MATCH(2,P3:P11,0),1)</f>
        <v>Razem 6 form (do por.)</v>
      </c>
      <c r="C38" s="418">
        <f>INDEX('25r'!C6:K14,MATCH(2,P3:P11,0),7)</f>
        <v>242570.32265999995</v>
      </c>
      <c r="D38" s="248">
        <f>(C46/C38)*100</f>
        <v>100.00000000000003</v>
      </c>
    </row>
    <row r="39" spans="2:5" ht="13.5" customHeight="1" x14ac:dyDescent="0.2">
      <c r="B39" s="291" t="str">
        <f>INDEX('24r'!C6:K14,MATCH(3,P3:P11,0),1)</f>
        <v>Staże</v>
      </c>
      <c r="C39" s="417">
        <f>INDEX('25r'!C6:K14,MATCH(3,P3:P11,0),7)</f>
        <v>67134.324789999999</v>
      </c>
      <c r="D39" s="130">
        <f>SUM(C39/C46)*100</f>
        <v>27.676231805198693</v>
      </c>
      <c r="E39" s="96">
        <v>1</v>
      </c>
    </row>
    <row r="40" spans="2:5" ht="15" customHeight="1" x14ac:dyDescent="0.2">
      <c r="B40" s="291" t="str">
        <f>INDEX('24r'!C6:K14,MATCH(4,P3:P11,0),1)</f>
        <v>Dofinansowanie działalności gospodarczej</v>
      </c>
      <c r="C40" s="417">
        <f>INDEX('25r'!C6:K14,MATCH(4,P3:P11,0),7)</f>
        <v>60856.502309999989</v>
      </c>
      <c r="D40" s="130">
        <f>SUM(C40/C46)*100</f>
        <v>25.088189537225393</v>
      </c>
      <c r="E40" s="96">
        <v>2</v>
      </c>
    </row>
    <row r="41" spans="2:5" ht="13.5" customHeight="1" x14ac:dyDescent="0.2">
      <c r="B41" s="291" t="str">
        <f>INDEX('24r'!C6:K14,MATCH(5,P3:P11,0),1)</f>
        <v>Refundacja kosztów wyposażenia lub doposażenia miejsca pracy</v>
      </c>
      <c r="C41" s="417">
        <f>INDEX('25r'!C6:K14,MATCH(5,P3:P11,0),7)</f>
        <v>44378.20839</v>
      </c>
      <c r="D41" s="130">
        <f>SUM(C41/C46)*100</f>
        <v>18.294986749967332</v>
      </c>
      <c r="E41" s="96">
        <v>3</v>
      </c>
    </row>
    <row r="42" spans="2:5" x14ac:dyDescent="0.2">
      <c r="B42" s="291" t="str">
        <f>INDEX('24r'!C6:K14,MATCH(6,P3:P11,0),1)</f>
        <v>Prace interwencyjne</v>
      </c>
      <c r="C42" s="417">
        <f>INDEX('25r'!C6:K14,MATCH(6,P3:P11,0),7)</f>
        <v>33670.706749999998</v>
      </c>
      <c r="D42" s="130">
        <f>SUM(C42/C46)*100</f>
        <v>13.880802227069932</v>
      </c>
      <c r="E42" s="96">
        <v>4</v>
      </c>
    </row>
    <row r="43" spans="2:5" x14ac:dyDescent="0.2">
      <c r="B43" s="291" t="str">
        <f>INDEX('24r'!C6:K14,MATCH(7,P3:P11,0),1)</f>
        <v>Roboty publiczne</v>
      </c>
      <c r="C43" s="417">
        <f>INDEX('25r'!C6:K14,MATCH(7,P3:P11,0),7)</f>
        <v>29865.365469999997</v>
      </c>
      <c r="D43" s="130">
        <f>SUM(C43/C46)*100</f>
        <v>12.312044252775699</v>
      </c>
      <c r="E43" s="96">
        <v>5</v>
      </c>
    </row>
    <row r="44" spans="2:5" ht="13.5" customHeight="1" x14ac:dyDescent="0.2">
      <c r="B44" s="410" t="str">
        <f>INDEX('24r'!C6:K14,MATCH(8,P3:P11,0),1)</f>
        <v>Bon na zasiedlenie</v>
      </c>
      <c r="C44" s="418">
        <f>INDEX('25r'!C6:K14,MATCH(8,P3:P11,0),7)</f>
        <v>9519.6675599999999</v>
      </c>
      <c r="D44" s="248">
        <f>SUM(C44)/C37*100</f>
        <v>3.7762973260827004</v>
      </c>
      <c r="E44" s="96" t="s">
        <v>338</v>
      </c>
    </row>
    <row r="45" spans="2:5" ht="13.5" customHeight="1" x14ac:dyDescent="0.2">
      <c r="B45" s="291" t="str">
        <f>INDEX('24r'!C6:K14,MATCH(9,P3:P11,0),1)</f>
        <v>Szkolenia</v>
      </c>
      <c r="C45" s="417">
        <f>INDEX('25r'!C6:K14,MATCH(9,P3:P11,0),7)</f>
        <v>6665.2149499999987</v>
      </c>
      <c r="D45" s="130">
        <f>SUM(C45/C46)*100</f>
        <v>2.7477454277629558</v>
      </c>
      <c r="E45" s="96">
        <v>6</v>
      </c>
    </row>
    <row r="46" spans="2:5" x14ac:dyDescent="0.2">
      <c r="C46" s="196">
        <f>SUM(C39:C43,C45)</f>
        <v>242570.32265999998</v>
      </c>
      <c r="D46" s="94">
        <f>SUM(D39:D43,D45)</f>
        <v>100.00000000000001</v>
      </c>
    </row>
    <row r="47" spans="2:5" x14ac:dyDescent="0.2">
      <c r="C47" s="196">
        <f>SUM(C38,C44)</f>
        <v>252089.99021999995</v>
      </c>
    </row>
    <row r="48" spans="2:5" x14ac:dyDescent="0.2">
      <c r="C48" s="45" t="s">
        <v>297</v>
      </c>
      <c r="D48" s="94">
        <f>SUM(D27:D29)</f>
        <v>71.059408092391422</v>
      </c>
    </row>
    <row r="49" spans="3:4" x14ac:dyDescent="0.2">
      <c r="C49" s="45" t="s">
        <v>297</v>
      </c>
      <c r="D49" s="94">
        <f>SUM(D39:D41)</f>
        <v>71.059408092391422</v>
      </c>
    </row>
  </sheetData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7">
    <tabColor theme="4" tint="0.59999389629810485"/>
    <pageSetUpPr fitToPage="1"/>
  </sheetPr>
  <dimension ref="B1:R49"/>
  <sheetViews>
    <sheetView zoomScale="80" zoomScaleNormal="80" workbookViewId="0">
      <selection activeCell="B1" sqref="B1"/>
    </sheetView>
  </sheetViews>
  <sheetFormatPr defaultRowHeight="14.25" x14ac:dyDescent="0.2"/>
  <cols>
    <col min="1" max="1" width="3.140625" style="44" customWidth="1"/>
    <col min="2" max="2" width="57.42578125" style="44" customWidth="1"/>
    <col min="3" max="3" width="22.28515625" style="44" customWidth="1"/>
    <col min="4" max="4" width="7.42578125" style="44" customWidth="1"/>
    <col min="5" max="5" width="58" style="44" customWidth="1"/>
    <col min="6" max="6" width="13.7109375" style="44" customWidth="1"/>
    <col min="7" max="7" width="3.85546875" style="44" customWidth="1"/>
    <col min="8" max="8" width="58.140625" style="44" customWidth="1"/>
    <col min="9" max="9" width="15.85546875" style="44" customWidth="1"/>
    <col min="10" max="10" width="7.85546875" style="44" customWidth="1"/>
    <col min="11" max="11" width="3.7109375" style="44" customWidth="1"/>
    <col min="12" max="12" width="12.5703125" style="44" customWidth="1"/>
    <col min="13" max="13" width="4.7109375" style="44" customWidth="1"/>
    <col min="14" max="14" width="12.28515625" style="44" customWidth="1"/>
    <col min="15" max="15" width="11.85546875" style="44" customWidth="1"/>
    <col min="16" max="16" width="9.7109375" style="44" customWidth="1"/>
    <col min="17" max="16384" width="9.140625" style="44"/>
  </cols>
  <sheetData>
    <row r="1" spans="2:18" ht="41.25" customHeight="1" x14ac:dyDescent="0.2">
      <c r="B1" s="422" t="s">
        <v>179</v>
      </c>
      <c r="M1" s="169" t="s">
        <v>461</v>
      </c>
    </row>
    <row r="2" spans="2:18" ht="52.5" customHeight="1" x14ac:dyDescent="0.2">
      <c r="B2" s="405" t="s">
        <v>159</v>
      </c>
      <c r="C2" s="405" t="s">
        <v>285</v>
      </c>
      <c r="M2" s="423" t="s">
        <v>178</v>
      </c>
      <c r="N2" s="407" t="s">
        <v>188</v>
      </c>
      <c r="O2" s="407" t="s">
        <v>189</v>
      </c>
      <c r="P2" s="408" t="str">
        <f>T('18r'!J3)</f>
        <v>KOSZTY w pełnych zł.</v>
      </c>
      <c r="Q2" s="408" t="str">
        <f>T('18r'!I3)</f>
        <v>KOSZTY (w tys. zł.)</v>
      </c>
      <c r="R2" s="408" t="str">
        <f>T('18r'!K3)</f>
        <v>koszt uczestn. 1 os. bezr.</v>
      </c>
    </row>
    <row r="3" spans="2:18" ht="12" customHeight="1" x14ac:dyDescent="0.2">
      <c r="B3" s="291" t="str">
        <f>INDEX('23r'!C6:K14,MATCH(1,N3:N11,0),1)</f>
        <v>Dofinansowanie działalności gospodarczej</v>
      </c>
      <c r="C3" s="409">
        <f>INDEX('24r'!C6:K14,MATCH(1,N3:N11,0),5)</f>
        <v>96.070811744386873</v>
      </c>
      <c r="M3" s="406">
        <v>1</v>
      </c>
      <c r="N3" s="125">
        <f>RANK('24r'!G6,'24r'!G6:G14)</f>
        <v>9</v>
      </c>
      <c r="O3" s="125">
        <f>RANK('24r'!H6,'24r'!H6:H14)</f>
        <v>9</v>
      </c>
      <c r="P3" s="125">
        <f>RANK('24r'!I6,'24r'!I6:I14)</f>
        <v>9</v>
      </c>
      <c r="Q3" s="125">
        <f>RANK('24r'!J6,'24r'!J6:J14)</f>
        <v>9</v>
      </c>
      <c r="R3" s="125">
        <f>RANK('24r'!K6,'24r'!K6:K14)</f>
        <v>9</v>
      </c>
    </row>
    <row r="4" spans="2:18" ht="12" customHeight="1" x14ac:dyDescent="0.2">
      <c r="B4" s="291" t="str">
        <f>INDEX('23r'!C6:K14,MATCH(2,N3:N11,0),1)</f>
        <v>Roboty publiczne</v>
      </c>
      <c r="C4" s="409">
        <f>INDEX('24r'!C6:K14,MATCH(2,N3:N11,0),5)</f>
        <v>95.273173726212406</v>
      </c>
      <c r="M4" s="406">
        <v>2</v>
      </c>
      <c r="N4" s="125">
        <f>RANK('24r'!G7,'24r'!G6:G14)</f>
        <v>8</v>
      </c>
      <c r="O4" s="125">
        <f>RANK('24r'!H7,'24r'!H6:H14)</f>
        <v>6</v>
      </c>
      <c r="P4" s="125">
        <f>RANK('24r'!I7,'24r'!I6:I14)</f>
        <v>4</v>
      </c>
      <c r="Q4" s="125">
        <f>RANK('24r'!J7,'24r'!J6:J14)</f>
        <v>4</v>
      </c>
      <c r="R4" s="125">
        <f>RANK('24r'!K7,'24r'!K6:K14)</f>
        <v>7</v>
      </c>
    </row>
    <row r="5" spans="2:18" ht="12" customHeight="1" x14ac:dyDescent="0.2">
      <c r="B5" s="291" t="str">
        <f>INDEX('23r'!C6:K14,MATCH(3,N3:N11,0),1)</f>
        <v>Prace interwencyjne</v>
      </c>
      <c r="C5" s="409">
        <f>INDEX('24r'!C6:K14,MATCH(3,N3:N11,0),5)</f>
        <v>93.311688311688314</v>
      </c>
      <c r="M5" s="406">
        <v>3</v>
      </c>
      <c r="N5" s="125">
        <f>RANK('24r'!G8,'24r'!G6:G14)</f>
        <v>3</v>
      </c>
      <c r="O5" s="125">
        <f>RANK('24r'!H8,'24r'!H6:H14)</f>
        <v>7</v>
      </c>
      <c r="P5" s="125">
        <f>RANK('24r'!I8,'24r'!I6:I14)</f>
        <v>7</v>
      </c>
      <c r="Q5" s="125">
        <f>RANK('24r'!J8,'24r'!J6:J14)</f>
        <v>7</v>
      </c>
      <c r="R5" s="125">
        <f>RANK('24r'!K8,'24r'!K6:K14)</f>
        <v>8</v>
      </c>
    </row>
    <row r="6" spans="2:18" ht="12.75" customHeight="1" x14ac:dyDescent="0.2">
      <c r="B6" s="291" t="str">
        <f>INDEX('23r'!C6:K14,MATCH(4,N3:N11,0),1)</f>
        <v>Bon na zasiedlenie</v>
      </c>
      <c r="C6" s="409">
        <f>INDEX('24r'!C6:K14,MATCH(4,N3:N11,0),5)</f>
        <v>92.462751971954432</v>
      </c>
      <c r="M6" s="406">
        <v>4</v>
      </c>
      <c r="N6" s="125">
        <f>RANK('24r'!G9,'24r'!G6:G14)</f>
        <v>2</v>
      </c>
      <c r="O6" s="125">
        <f>RANK('24r'!H9,'24r'!H6:H14)</f>
        <v>3</v>
      </c>
      <c r="P6" s="125">
        <f>RANK('24r'!I9,'24r'!I6:I14)</f>
        <v>6</v>
      </c>
      <c r="Q6" s="125">
        <f>RANK('24r'!J9,'24r'!J6:J14)</f>
        <v>6</v>
      </c>
      <c r="R6" s="125">
        <f>RANK('24r'!K9,'24r'!K6:K14)</f>
        <v>3</v>
      </c>
    </row>
    <row r="7" spans="2:18" ht="12" customHeight="1" x14ac:dyDescent="0.2">
      <c r="B7" s="291" t="str">
        <f>INDEX('23r'!C6:K14,MATCH(5,N3:N11,0),1)</f>
        <v>Refundacja kosztów wyposażenia lub doposażenia miejsca pracy</v>
      </c>
      <c r="C7" s="409">
        <f>INDEX('24r'!C6:K14,MATCH(5,N3:N11,0),5)</f>
        <v>92.219451371571068</v>
      </c>
      <c r="M7" s="406">
        <v>5</v>
      </c>
      <c r="N7" s="125">
        <f>RANK('24r'!G10,'24r'!G6:G14)</f>
        <v>1</v>
      </c>
      <c r="O7" s="125">
        <f>RANK('24r'!H10,'24r'!H6:H14)</f>
        <v>1</v>
      </c>
      <c r="P7" s="125">
        <f>RANK('24r'!I10,'24r'!I6:I14)</f>
        <v>3</v>
      </c>
      <c r="Q7" s="125">
        <f>RANK('24r'!J10,'24r'!J6:J14)</f>
        <v>3</v>
      </c>
      <c r="R7" s="125">
        <f>RANK('24r'!K10,'24r'!K6:K14)</f>
        <v>2</v>
      </c>
    </row>
    <row r="8" spans="2:18" ht="12.75" customHeight="1" x14ac:dyDescent="0.2">
      <c r="B8" s="291" t="str">
        <f>INDEX('23r'!C6:K14,MATCH(6,N3:N11,0),1)</f>
        <v>Razem 7 podstawowych form</v>
      </c>
      <c r="C8" s="409">
        <f>INDEX('24r'!C6:K14,MATCH(6,N3:N11,0),5)</f>
        <v>87.851101919871596</v>
      </c>
      <c r="M8" s="406">
        <v>6</v>
      </c>
      <c r="N8" s="125">
        <f>RANK('24r'!G11,'24r'!G6:G14)</f>
        <v>5</v>
      </c>
      <c r="O8" s="125">
        <f>RANK('24r'!H11,'24r'!H6:H14)</f>
        <v>2</v>
      </c>
      <c r="P8" s="125">
        <f>RANK('24r'!I11,'24r'!I6:I14)</f>
        <v>5</v>
      </c>
      <c r="Q8" s="125">
        <f>RANK('24r'!J11,'24r'!J6:J14)</f>
        <v>5</v>
      </c>
      <c r="R8" s="125">
        <f>RANK('24r'!K11,'24r'!K6:K14)</f>
        <v>1</v>
      </c>
    </row>
    <row r="9" spans="2:18" ht="12" customHeight="1" x14ac:dyDescent="0.2">
      <c r="B9" s="410" t="str">
        <f>INDEX('23r'!C6:K14,MATCH(7,N3:N11,0),1)</f>
        <v>Razem 6 form (do por.)</v>
      </c>
      <c r="C9" s="411">
        <f>INDEX('24r'!C6:K14,MATCH(7,N3:N11,0),5)</f>
        <v>87.501660247044768</v>
      </c>
      <c r="M9" s="406">
        <v>7</v>
      </c>
      <c r="N9" s="125">
        <f>RANK('24r'!G12,'24r'!G6:G14)</f>
        <v>4</v>
      </c>
      <c r="O9" s="125">
        <f>RANK('24r'!H12,'24r'!H6:H14)</f>
        <v>8</v>
      </c>
      <c r="P9" s="125">
        <f>RANK('24r'!I12,'24r'!I6:I14)</f>
        <v>8</v>
      </c>
      <c r="Q9" s="125">
        <f>RANK('24r'!J12,'24r'!J6:J14)</f>
        <v>8</v>
      </c>
      <c r="R9" s="125">
        <f>RANK('24r'!K12,'24r'!K6:K14)</f>
        <v>6</v>
      </c>
    </row>
    <row r="10" spans="2:18" ht="12" customHeight="1" x14ac:dyDescent="0.2">
      <c r="B10" s="291" t="str">
        <f>INDEX('23r'!C6:K14,MATCH(8,N3:N11,0),1)</f>
        <v>Staże</v>
      </c>
      <c r="C10" s="409">
        <f>INDEX('24r'!C6:K14,MATCH(8,N3:N11,0),5)</f>
        <v>83.199831365935921</v>
      </c>
      <c r="M10" s="406">
        <v>8</v>
      </c>
      <c r="N10" s="125">
        <f>RANK('24r'!G13,'24r'!G6:G14)</f>
        <v>7</v>
      </c>
      <c r="O10" s="125">
        <f>RANK('24r'!H13,'24r'!H6:H14)</f>
        <v>4</v>
      </c>
      <c r="P10" s="125">
        <f>RANK('24r'!I13,'24r'!I6:I14)</f>
        <v>2</v>
      </c>
      <c r="Q10" s="125">
        <f>RANK('24r'!J13,'24r'!J6:J14)</f>
        <v>2</v>
      </c>
      <c r="R10" s="125">
        <f>RANK('24r'!K13,'24r'!K6:K14)</f>
        <v>4</v>
      </c>
    </row>
    <row r="11" spans="2:18" ht="12" customHeight="1" x14ac:dyDescent="0.2">
      <c r="B11" s="291" t="str">
        <f>INDEX('23r'!C6:K14,MATCH(9,N3:N11,0),1)</f>
        <v>Szkolenia</v>
      </c>
      <c r="C11" s="409">
        <f>INDEX('24r'!C6:K14,MATCH(9,N3:N11,0),5)</f>
        <v>56.77570093457944</v>
      </c>
      <c r="M11" s="406">
        <v>9</v>
      </c>
      <c r="N11" s="125">
        <f>RANK('24r'!G14,'24r'!G6:G14)</f>
        <v>6</v>
      </c>
      <c r="O11" s="125">
        <f>RANK('24r'!H14,'24r'!H6:H14)</f>
        <v>5</v>
      </c>
      <c r="P11" s="125">
        <f>RANK('24r'!I14,'24r'!I6:I14)</f>
        <v>1</v>
      </c>
      <c r="Q11" s="125">
        <f>RANK('24r'!J14,'24r'!J6:J14)</f>
        <v>1</v>
      </c>
      <c r="R11" s="125">
        <f>RANK('24r'!K14,'24r'!K6:K14)</f>
        <v>5</v>
      </c>
    </row>
    <row r="12" spans="2:18" ht="36.75" customHeight="1" x14ac:dyDescent="0.2">
      <c r="B12" s="422" t="s">
        <v>180</v>
      </c>
    </row>
    <row r="13" spans="2:18" ht="43.5" customHeight="1" x14ac:dyDescent="0.2">
      <c r="B13" s="405" t="s">
        <v>159</v>
      </c>
      <c r="C13" s="405" t="s">
        <v>286</v>
      </c>
    </row>
    <row r="14" spans="2:18" ht="12.75" customHeight="1" x14ac:dyDescent="0.2">
      <c r="B14" s="291" t="str">
        <f>INDEX('23r'!C6:K14,MATCH(1,O3:O11,0),1)</f>
        <v>Dofinansowanie działalności gospodarczej</v>
      </c>
      <c r="C14" s="412">
        <f>INDEX('24r'!C6:K14,MATCH(1,O3:O11,0),6)</f>
        <v>30190.15993707865</v>
      </c>
    </row>
    <row r="15" spans="2:18" ht="11.25" customHeight="1" x14ac:dyDescent="0.2">
      <c r="B15" s="291" t="str">
        <f>INDEX('23r'!C6:K14,MATCH(2,O3:O11,0),1)</f>
        <v>Refundacja kosztów wyposażenia lub doposażenia miejsca pracy</v>
      </c>
      <c r="C15" s="412">
        <f>INDEX('24r'!C6:K14,MATCH(2,O3:O11,0),6)</f>
        <v>29430.554451054621</v>
      </c>
    </row>
    <row r="16" spans="2:18" ht="11.25" customHeight="1" x14ac:dyDescent="0.2">
      <c r="B16" s="410" t="str">
        <f>INDEX('23r'!C6:K14,MATCH(3,O3:O11,0),1)</f>
        <v>Roboty publiczne</v>
      </c>
      <c r="C16" s="413">
        <f>INDEX('24r'!C6:K14,MATCH(3,O3:O11,0),6)</f>
        <v>19243.137068298973</v>
      </c>
    </row>
    <row r="17" spans="2:4" ht="10.5" customHeight="1" x14ac:dyDescent="0.2">
      <c r="B17" s="291" t="str">
        <f>INDEX('23r'!C6:K14,MATCH(4,O3:O11,0),1)</f>
        <v>Razem 6 form (do por.)</v>
      </c>
      <c r="C17" s="412">
        <f>INDEX('24r'!C6:K14,MATCH(4,O3:O11,0),6)</f>
        <v>19103.241375227688</v>
      </c>
    </row>
    <row r="18" spans="2:4" ht="10.5" customHeight="1" x14ac:dyDescent="0.2">
      <c r="B18" s="291" t="str">
        <f>INDEX('23r'!C6:K14,MATCH(5,O3:O11,0),1)</f>
        <v>Razem 7 podstawowych form</v>
      </c>
      <c r="C18" s="412">
        <f>INDEX('24r'!C6:K14,MATCH(5,O3:O11,0),6)</f>
        <v>18415.408012788983</v>
      </c>
    </row>
    <row r="19" spans="2:4" ht="11.25" customHeight="1" x14ac:dyDescent="0.2">
      <c r="B19" s="291" t="str">
        <f>INDEX('23r'!C6:K14,MATCH(6,O3:O11,0),1)</f>
        <v>Staże</v>
      </c>
      <c r="C19" s="412">
        <f>INDEX('24r'!C6:K14,MATCH(6,O3:O11,0),6)</f>
        <v>16068.55786166709</v>
      </c>
    </row>
    <row r="20" spans="2:4" ht="10.5" customHeight="1" x14ac:dyDescent="0.2">
      <c r="B20" s="291" t="str">
        <f>INDEX('23r'!C6:K14,MATCH(7,O3:O11,0),1)</f>
        <v>Prace interwencyjne</v>
      </c>
      <c r="C20" s="412">
        <f>INDEX('24r'!C6:K14,MATCH(7,O3:O11,0),6)</f>
        <v>10383.166715379262</v>
      </c>
    </row>
    <row r="21" spans="2:4" ht="10.5" customHeight="1" x14ac:dyDescent="0.2">
      <c r="B21" s="291" t="str">
        <f>INDEX('23r'!C6:K14,MATCH(8,O3:O11,0),1)</f>
        <v>Bon na zasiedlenie</v>
      </c>
      <c r="C21" s="412">
        <f>INDEX('24r'!C6:K14,MATCH(8,O3:O11,0),6)</f>
        <v>9824.9886919431283</v>
      </c>
    </row>
    <row r="22" spans="2:4" ht="10.5" customHeight="1" x14ac:dyDescent="0.2">
      <c r="B22" s="291" t="str">
        <f>INDEX('23r'!C6:K14,MATCH(9,O3:O11,0),1)</f>
        <v>Szkolenia</v>
      </c>
      <c r="C22" s="412">
        <f>INDEX('24r'!C6:K14,MATCH(9,O3:O11,0),6)</f>
        <v>9581.5357613168762</v>
      </c>
    </row>
    <row r="24" spans="2:4" ht="28.5" x14ac:dyDescent="0.2">
      <c r="B24" s="414" t="s">
        <v>159</v>
      </c>
      <c r="C24" s="415" t="s">
        <v>155</v>
      </c>
      <c r="D24" s="416" t="s">
        <v>287</v>
      </c>
    </row>
    <row r="25" spans="2:4" ht="12.75" customHeight="1" x14ac:dyDescent="0.2">
      <c r="B25" s="291" t="str">
        <f>INDEX('23r'!C6:K14,MATCH(1,Q3:Q11,0),1)</f>
        <v>Razem 7 podstawowych form</v>
      </c>
      <c r="C25" s="417">
        <f>INDEX('24r'!C6:K14,MATCH(1,Q3:Q11,0),8)</f>
        <v>262069671.43000001</v>
      </c>
      <c r="D25" s="130"/>
    </row>
    <row r="26" spans="2:4" ht="11.25" customHeight="1" x14ac:dyDescent="0.2">
      <c r="B26" s="410" t="str">
        <f>INDEX('23r'!C6:K14,MATCH(2,Q3:Q11,0),1)</f>
        <v>Razem 6 form (do por.)</v>
      </c>
      <c r="C26" s="418">
        <f>INDEX('24r'!C6:K14,MATCH(2,Q3:Q11,0),8)</f>
        <v>251704308.36000001</v>
      </c>
      <c r="D26" s="248">
        <f>SUM(C26/C34)*100</f>
        <v>100</v>
      </c>
    </row>
    <row r="27" spans="2:4" ht="12" customHeight="1" x14ac:dyDescent="0.2">
      <c r="B27" s="291" t="str">
        <f>INDEX('23r'!C6:K14,MATCH(3,Q3:Q11,0),1)</f>
        <v>Dofinansowanie działalności gospodarczej</v>
      </c>
      <c r="C27" s="417">
        <f>INDEX('24r'!C6:K14,MATCH(3,Q3:Q11,0),8)</f>
        <v>67173105.859999999</v>
      </c>
      <c r="D27" s="130">
        <f>SUM(C27/C26)*100</f>
        <v>26.687308730498838</v>
      </c>
    </row>
    <row r="28" spans="2:4" ht="11.25" customHeight="1" x14ac:dyDescent="0.2">
      <c r="B28" s="291" t="str">
        <f>INDEX('23r'!C6:K14,MATCH(4,Q3:Q11,0),1)</f>
        <v>Staże</v>
      </c>
      <c r="C28" s="417">
        <f>INDEX('24r'!C6:K14,MATCH(4,Q3:Q11,0),8)</f>
        <v>63422597.880000003</v>
      </c>
      <c r="D28" s="130">
        <f>SUM(C28/C26)*100</f>
        <v>25.197263524504255</v>
      </c>
    </row>
    <row r="29" spans="2:4" ht="12" customHeight="1" x14ac:dyDescent="0.2">
      <c r="B29" s="291" t="str">
        <f>INDEX('23r'!C6:K14,MATCH(5,Q3:Q11,0),1)</f>
        <v>Refundacja kosztów wyposażenia lub doposażenia miejsca pracy</v>
      </c>
      <c r="C29" s="417">
        <f>INDEX('24r'!C6:K14,MATCH(5,Q3:Q11,0),8)</f>
        <v>54417095.179999992</v>
      </c>
      <c r="D29" s="130">
        <f>SUM(C29/C26)*100</f>
        <v>21.619453212604515</v>
      </c>
    </row>
    <row r="30" spans="2:4" ht="12" customHeight="1" x14ac:dyDescent="0.2">
      <c r="B30" s="291" t="str">
        <f>INDEX('23r'!C6:K14,MATCH(6,Q3:Q11,0),1)</f>
        <v>Roboty publiczne</v>
      </c>
      <c r="C30" s="417">
        <f>INDEX('24r'!C6:K14,MATCH(6,Q3:Q11,0),8)</f>
        <v>29865348.730000004</v>
      </c>
      <c r="D30" s="130">
        <f>SUM(C30/C26)*100</f>
        <v>11.865251304036123</v>
      </c>
    </row>
    <row r="31" spans="2:4" ht="12.75" customHeight="1" x14ac:dyDescent="0.2">
      <c r="B31" s="291" t="str">
        <f>INDEX('23r'!C6:K14,MATCH(7,Q3:Q11,0),1)</f>
        <v>Prace interwencyjne</v>
      </c>
      <c r="C31" s="417">
        <f>INDEX('24r'!C6:K14,MATCH(7,Q3:Q11,0),8)</f>
        <v>29841221.140000001</v>
      </c>
      <c r="D31" s="130">
        <f>SUM(C31/C26)*100</f>
        <v>11.855665615909761</v>
      </c>
    </row>
    <row r="32" spans="2:4" ht="12.75" customHeight="1" x14ac:dyDescent="0.2">
      <c r="B32" s="410" t="str">
        <f>INDEX('23r'!C6:K14,MATCH(8,Q3:Q11,0),1)</f>
        <v>Bon na zasiedlenie</v>
      </c>
      <c r="C32" s="418">
        <f>INDEX('24r'!C6:K14,MATCH(8,Q3:Q11,0),8)</f>
        <v>10365363.07</v>
      </c>
      <c r="D32" s="248"/>
    </row>
    <row r="33" spans="2:5" ht="12.75" customHeight="1" x14ac:dyDescent="0.2">
      <c r="B33" s="291" t="str">
        <f>INDEX('23r'!C6:K14,MATCH(9,Q3:Q11,0),1)</f>
        <v>Szkolenia</v>
      </c>
      <c r="C33" s="417">
        <f>INDEX('24r'!C6:K14,MATCH(9,Q3:Q11,0),8)</f>
        <v>6984939.5700000022</v>
      </c>
      <c r="D33" s="130">
        <f>SUM(C33/C26)*100</f>
        <v>2.7750576124465036</v>
      </c>
    </row>
    <row r="34" spans="2:5" x14ac:dyDescent="0.2">
      <c r="C34" s="196">
        <f>SUM(C27:C31,C33)</f>
        <v>251704308.36000001</v>
      </c>
      <c r="D34" s="94">
        <f>SUM(D27:D31,D33)</f>
        <v>99.999999999999986</v>
      </c>
    </row>
    <row r="35" spans="2:5" ht="28.5" customHeight="1" x14ac:dyDescent="0.2">
      <c r="C35" s="196">
        <f>SUM(C26,C32)</f>
        <v>262069671.43000001</v>
      </c>
    </row>
    <row r="36" spans="2:5" ht="12.75" customHeight="1" x14ac:dyDescent="0.2">
      <c r="B36" s="419" t="s">
        <v>159</v>
      </c>
      <c r="C36" s="420" t="s">
        <v>158</v>
      </c>
      <c r="D36" s="421" t="s">
        <v>287</v>
      </c>
    </row>
    <row r="37" spans="2:5" ht="12.75" customHeight="1" x14ac:dyDescent="0.2">
      <c r="B37" s="291" t="str">
        <f>INDEX('23r'!C6:K14,MATCH(1,P3:P11,0),1)</f>
        <v>Razem 7 podstawowych form</v>
      </c>
      <c r="C37" s="417">
        <f>INDEX('24r'!C6:K14,MATCH(1,P3:P11,0),7)</f>
        <v>262069.67143000002</v>
      </c>
      <c r="D37" s="535"/>
    </row>
    <row r="38" spans="2:5" ht="12" customHeight="1" x14ac:dyDescent="0.2">
      <c r="B38" s="410" t="str">
        <f>INDEX('23r'!C6:K14,MATCH(2,P3:P11,0),1)</f>
        <v>Razem 6 form (do por.)</v>
      </c>
      <c r="C38" s="418">
        <f>INDEX('24r'!C6:K14,MATCH(2,P3:P11,0),7)</f>
        <v>251704.30836000002</v>
      </c>
      <c r="D38" s="248">
        <f>(C46/C38)*100</f>
        <v>99.999999999999972</v>
      </c>
    </row>
    <row r="39" spans="2:5" ht="13.5" customHeight="1" x14ac:dyDescent="0.2">
      <c r="B39" s="291" t="str">
        <f>INDEX('23r'!C6:K14,MATCH(3,P3:P11,0),1)</f>
        <v>Dofinansowanie działalności gospodarczej</v>
      </c>
      <c r="C39" s="417">
        <f>INDEX('24r'!C6:K14,MATCH(3,P3:P11,0),7)</f>
        <v>67173.105859999996</v>
      </c>
      <c r="D39" s="130">
        <f>SUM(C39/C46)*100</f>
        <v>26.687308730498842</v>
      </c>
      <c r="E39" s="96">
        <v>1</v>
      </c>
    </row>
    <row r="40" spans="2:5" ht="15" customHeight="1" x14ac:dyDescent="0.2">
      <c r="B40" s="291" t="str">
        <f>INDEX('23r'!C6:K14,MATCH(4,P3:P11,0),1)</f>
        <v>Staże</v>
      </c>
      <c r="C40" s="417">
        <f>INDEX('24r'!C6:K14,MATCH(4,P3:P11,0),7)</f>
        <v>63422.597880000001</v>
      </c>
      <c r="D40" s="130">
        <f>SUM(C40/C46)*100</f>
        <v>25.197263524504258</v>
      </c>
      <c r="E40" s="96">
        <v>2</v>
      </c>
    </row>
    <row r="41" spans="2:5" ht="13.5" customHeight="1" x14ac:dyDescent="0.2">
      <c r="B41" s="291" t="str">
        <f>INDEX('23r'!C6:K14,MATCH(5,P3:P11,0),1)</f>
        <v>Refundacja kosztów wyposażenia lub doposażenia miejsca pracy</v>
      </c>
      <c r="C41" s="417">
        <f>INDEX('24r'!C6:K14,MATCH(5,P3:P11,0),7)</f>
        <v>54417.095179999989</v>
      </c>
      <c r="D41" s="130">
        <f>SUM(C41/C46)*100</f>
        <v>21.619453212604515</v>
      </c>
      <c r="E41" s="96">
        <v>3</v>
      </c>
    </row>
    <row r="42" spans="2:5" x14ac:dyDescent="0.2">
      <c r="B42" s="291" t="str">
        <f>INDEX('23r'!C6:K14,MATCH(6,P3:P11,0),1)</f>
        <v>Roboty publiczne</v>
      </c>
      <c r="C42" s="417">
        <f>INDEX('24r'!C6:K14,MATCH(6,P3:P11,0),7)</f>
        <v>29865.348730000005</v>
      </c>
      <c r="D42" s="130">
        <f>SUM(C42/C46)*100</f>
        <v>11.865251304036125</v>
      </c>
      <c r="E42" s="96">
        <v>4</v>
      </c>
    </row>
    <row r="43" spans="2:5" x14ac:dyDescent="0.2">
      <c r="B43" s="291" t="str">
        <f>INDEX('23r'!C6:K14,MATCH(7,P3:P11,0),1)</f>
        <v>Prace interwencyjne</v>
      </c>
      <c r="C43" s="417">
        <f>INDEX('24r'!C6:K14,MATCH(7,P3:P11,0),7)</f>
        <v>29841.221140000001</v>
      </c>
      <c r="D43" s="130">
        <f>SUM(C43/C46)*100</f>
        <v>11.855665615909764</v>
      </c>
      <c r="E43" s="96">
        <v>5</v>
      </c>
    </row>
    <row r="44" spans="2:5" ht="13.5" customHeight="1" x14ac:dyDescent="0.2">
      <c r="B44" s="410" t="str">
        <f>INDEX('23r'!C6:K14,MATCH(8,P3:P11,0),1)</f>
        <v>Bon na zasiedlenie</v>
      </c>
      <c r="C44" s="418">
        <f>INDEX('24r'!C6:K14,MATCH(8,P3:P11,0),7)</f>
        <v>10365.363069999999</v>
      </c>
      <c r="D44" s="248">
        <f>SUM(C44)/C37*100</f>
        <v>3.955193675575174</v>
      </c>
      <c r="E44" s="96" t="s">
        <v>338</v>
      </c>
    </row>
    <row r="45" spans="2:5" ht="13.5" customHeight="1" x14ac:dyDescent="0.2">
      <c r="B45" s="291" t="str">
        <f>INDEX('23r'!C6:K14,MATCH(9,P3:P11,0),1)</f>
        <v>Szkolenia</v>
      </c>
      <c r="C45" s="417">
        <f>INDEX('24r'!C6:K14,MATCH(9,P3:P11,0),7)</f>
        <v>6984.9395700000023</v>
      </c>
      <c r="D45" s="130">
        <f>SUM(C45/C46)*100</f>
        <v>2.7750576124465045</v>
      </c>
      <c r="E45" s="96">
        <v>6</v>
      </c>
    </row>
    <row r="46" spans="2:5" x14ac:dyDescent="0.2">
      <c r="C46" s="196">
        <f>SUM(C39:C43,C45)</f>
        <v>251704.30835999997</v>
      </c>
      <c r="D46" s="94">
        <f>SUM(D39:D43,D45)</f>
        <v>100.00000000000001</v>
      </c>
    </row>
    <row r="47" spans="2:5" x14ac:dyDescent="0.2">
      <c r="C47" s="196">
        <f>SUM(C38,C44)</f>
        <v>262069.67143000002</v>
      </c>
    </row>
    <row r="48" spans="2:5" x14ac:dyDescent="0.2">
      <c r="C48" s="45" t="s">
        <v>297</v>
      </c>
      <c r="D48" s="94">
        <f>SUM(D27:D29)</f>
        <v>73.504025467607605</v>
      </c>
    </row>
    <row r="49" spans="3:4" x14ac:dyDescent="0.2">
      <c r="C49" s="45" t="s">
        <v>297</v>
      </c>
      <c r="D49" s="94">
        <f>SUM(D39:D41)</f>
        <v>73.504025467607619</v>
      </c>
    </row>
  </sheetData>
  <pageMargins left="0.7" right="0.7" top="0.75" bottom="0.75" header="0.3" footer="0.3"/>
  <pageSetup paperSize="9" scale="3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1DBAB-A4E7-4BF8-ACB8-A774D15A5F07}">
  <sheetPr>
    <tabColor theme="0"/>
  </sheetPr>
  <dimension ref="B2:F27"/>
  <sheetViews>
    <sheetView zoomScale="80" zoomScaleNormal="80" workbookViewId="0">
      <selection activeCell="B1" sqref="B1"/>
    </sheetView>
  </sheetViews>
  <sheetFormatPr defaultRowHeight="15" x14ac:dyDescent="0.25"/>
  <cols>
    <col min="1" max="1" width="4.28515625" style="3" customWidth="1"/>
    <col min="2" max="2" width="43.7109375" style="3" customWidth="1"/>
    <col min="3" max="3" width="20.28515625" style="3" customWidth="1"/>
    <col min="4" max="4" width="18.85546875" style="3" customWidth="1"/>
    <col min="5" max="5" width="19.28515625" style="3" customWidth="1"/>
    <col min="6" max="6" width="4" style="3" customWidth="1"/>
    <col min="7" max="7" width="9.140625" style="3"/>
    <col min="8" max="8" width="17.7109375" style="3" customWidth="1"/>
    <col min="9" max="9" width="17.5703125" style="3" customWidth="1"/>
    <col min="10" max="10" width="13.140625" style="3" customWidth="1"/>
    <col min="11" max="16384" width="9.140625" style="3"/>
  </cols>
  <sheetData>
    <row r="2" spans="2:6" ht="66.75" customHeight="1" x14ac:dyDescent="0.25">
      <c r="B2" s="598" t="s">
        <v>53</v>
      </c>
      <c r="C2" s="538" t="s">
        <v>339</v>
      </c>
      <c r="D2" s="538" t="s">
        <v>340</v>
      </c>
      <c r="E2" s="538" t="s">
        <v>98</v>
      </c>
      <c r="F2" s="96"/>
    </row>
    <row r="3" spans="2:6" x14ac:dyDescent="0.25">
      <c r="B3" s="129">
        <v>2015</v>
      </c>
      <c r="C3" s="46">
        <f>SUM('15r'!D13)</f>
        <v>36658</v>
      </c>
      <c r="D3" s="46">
        <f>SUM('15r'!E13)</f>
        <v>26927</v>
      </c>
      <c r="E3" s="46">
        <f>SUM('15r'!F13)</f>
        <v>20007</v>
      </c>
      <c r="F3" s="96">
        <v>6</v>
      </c>
    </row>
    <row r="4" spans="2:6" x14ac:dyDescent="0.25">
      <c r="B4" s="129">
        <v>2016</v>
      </c>
      <c r="C4" s="46">
        <f>SUM('16r'!D13)</f>
        <v>35772</v>
      </c>
      <c r="D4" s="46">
        <f>SUM('16r'!E13)</f>
        <v>28312</v>
      </c>
      <c r="E4" s="46">
        <f>SUM('16r'!F13)</f>
        <v>22811</v>
      </c>
      <c r="F4" s="96">
        <v>6</v>
      </c>
    </row>
    <row r="5" spans="2:6" x14ac:dyDescent="0.25">
      <c r="B5" s="129">
        <v>2017</v>
      </c>
      <c r="C5" s="46">
        <f>SUM('17r'!D13)</f>
        <v>31163</v>
      </c>
      <c r="D5" s="46">
        <f>SUM('17r'!E13)</f>
        <v>24731</v>
      </c>
      <c r="E5" s="46">
        <f>SUM('17r'!F13)</f>
        <v>21303</v>
      </c>
      <c r="F5" s="96">
        <v>6</v>
      </c>
    </row>
    <row r="6" spans="2:6" x14ac:dyDescent="0.25">
      <c r="B6" s="129">
        <v>2018</v>
      </c>
      <c r="C6" s="46">
        <f>SUM('18r'!D13)</f>
        <v>26667</v>
      </c>
      <c r="D6" s="46">
        <f>SUM('18r'!E13)</f>
        <v>22212</v>
      </c>
      <c r="E6" s="46">
        <f>SUM('18r'!F13)</f>
        <v>19586</v>
      </c>
      <c r="F6" s="96">
        <v>6</v>
      </c>
    </row>
    <row r="7" spans="2:6" x14ac:dyDescent="0.25">
      <c r="B7" s="129">
        <v>2019</v>
      </c>
      <c r="C7" s="46">
        <f>SUM('19r'!D13)</f>
        <v>22309</v>
      </c>
      <c r="D7" s="46">
        <f>SUM('19r'!E13)</f>
        <v>17964</v>
      </c>
      <c r="E7" s="46">
        <f>SUM('19r'!F13)</f>
        <v>16015</v>
      </c>
      <c r="F7" s="96">
        <v>6</v>
      </c>
    </row>
    <row r="8" spans="2:6" x14ac:dyDescent="0.25">
      <c r="B8" s="129">
        <v>2020</v>
      </c>
      <c r="C8" s="46">
        <f>SUM('20r'!D13)</f>
        <v>18849</v>
      </c>
      <c r="D8" s="46">
        <f>SUM('20r'!E13)</f>
        <v>15254</v>
      </c>
      <c r="E8" s="46">
        <f>SUM('20r'!F13)</f>
        <v>13499</v>
      </c>
      <c r="F8" s="96">
        <v>6</v>
      </c>
    </row>
    <row r="9" spans="2:6" x14ac:dyDescent="0.25">
      <c r="B9" s="564">
        <v>2021</v>
      </c>
      <c r="C9" s="563">
        <f>SUM('21r'!D14)</f>
        <v>22945</v>
      </c>
      <c r="D9" s="563">
        <f>SUM('21r'!E14)</f>
        <v>16308</v>
      </c>
      <c r="E9" s="563">
        <f>SUM('21r'!F14)</f>
        <v>14591</v>
      </c>
      <c r="F9" s="96">
        <v>7</v>
      </c>
    </row>
    <row r="10" spans="2:6" ht="15.75" customHeight="1" x14ac:dyDescent="0.25">
      <c r="B10" s="564">
        <v>2022</v>
      </c>
      <c r="C10" s="563">
        <f>SUM('22r'!D13)</f>
        <v>24415</v>
      </c>
      <c r="D10" s="563">
        <f>SUM('22r'!E13)</f>
        <v>18116</v>
      </c>
      <c r="E10" s="563">
        <f>SUM('22r'!F13)</f>
        <v>15697</v>
      </c>
      <c r="F10" s="96">
        <v>6</v>
      </c>
    </row>
    <row r="11" spans="2:6" x14ac:dyDescent="0.25">
      <c r="B11" s="564">
        <v>2023</v>
      </c>
      <c r="C11" s="563">
        <f>SUM('23r'!D13)</f>
        <v>20427</v>
      </c>
      <c r="D11" s="563">
        <f>SUM('23r'!E13)</f>
        <v>17387</v>
      </c>
      <c r="E11" s="563">
        <f>SUM('23r'!F13)</f>
        <v>14960</v>
      </c>
      <c r="F11" s="529">
        <v>6</v>
      </c>
    </row>
    <row r="12" spans="2:6" x14ac:dyDescent="0.25">
      <c r="B12" s="564">
        <v>2024</v>
      </c>
      <c r="C12" s="563">
        <f>SUM('24r'!D13)</f>
        <v>17066</v>
      </c>
      <c r="D12" s="563">
        <f>SUM('24r'!E13)</f>
        <v>15058</v>
      </c>
      <c r="E12" s="563">
        <f>SUM('24r'!F13)</f>
        <v>13176</v>
      </c>
      <c r="F12" s="529">
        <v>6</v>
      </c>
    </row>
    <row r="13" spans="2:6" ht="16.5" customHeight="1" x14ac:dyDescent="0.25">
      <c r="B13" s="564">
        <v>2025</v>
      </c>
      <c r="C13" s="563">
        <f>SUM('25r'!D13)</f>
        <v>16096</v>
      </c>
      <c r="D13" s="563">
        <f>SUM('25r'!E13)</f>
        <v>13476</v>
      </c>
      <c r="E13" s="563">
        <f>SUM('25r'!F13)</f>
        <v>11613</v>
      </c>
      <c r="F13" s="529">
        <v>6</v>
      </c>
    </row>
    <row r="16" spans="2:6" ht="28.5" x14ac:dyDescent="0.25">
      <c r="B16" s="539" t="s">
        <v>54</v>
      </c>
      <c r="C16" s="539" t="s">
        <v>292</v>
      </c>
      <c r="D16" s="539" t="s">
        <v>292</v>
      </c>
      <c r="E16" s="542" t="s">
        <v>476</v>
      </c>
    </row>
    <row r="17" spans="2:5" x14ac:dyDescent="0.25">
      <c r="B17" s="540" t="s">
        <v>55</v>
      </c>
      <c r="C17" s="540" t="s">
        <v>293</v>
      </c>
      <c r="D17" s="540" t="s">
        <v>293</v>
      </c>
      <c r="E17" s="543" t="s">
        <v>477</v>
      </c>
    </row>
    <row r="18" spans="2:5" x14ac:dyDescent="0.25">
      <c r="B18" s="541"/>
      <c r="C18" s="686" t="s">
        <v>489</v>
      </c>
      <c r="D18" s="686" t="s">
        <v>475</v>
      </c>
      <c r="E18" s="544"/>
    </row>
    <row r="19" spans="2:5" x14ac:dyDescent="0.25">
      <c r="B19" s="338" t="s">
        <v>2</v>
      </c>
      <c r="C19" s="412">
        <f>SUM('25r'!K6)</f>
        <v>4488.3602356902347</v>
      </c>
      <c r="D19" s="412">
        <f>SUM('24r'!K6)</f>
        <v>4373.7880839073277</v>
      </c>
      <c r="E19" s="126">
        <f>SUM(C19-D19)</f>
        <v>114.57215178290699</v>
      </c>
    </row>
    <row r="20" spans="2:5" x14ac:dyDescent="0.25">
      <c r="B20" s="338" t="s">
        <v>1</v>
      </c>
      <c r="C20" s="412">
        <f>SUM('25r'!K7)</f>
        <v>11298.27074890609</v>
      </c>
      <c r="D20" s="412">
        <f>SUM('24r'!K7)</f>
        <v>10314.294662546756</v>
      </c>
      <c r="E20" s="126">
        <f t="shared" ref="E20:E25" si="0">SUM(C20-D20)</f>
        <v>983.97608635933466</v>
      </c>
    </row>
    <row r="21" spans="2:5" x14ac:dyDescent="0.25">
      <c r="B21" s="338" t="s">
        <v>3</v>
      </c>
      <c r="C21" s="412">
        <f>SUM('25r'!K8)</f>
        <v>8162.5955757575757</v>
      </c>
      <c r="D21" s="412">
        <f>SUM('24r'!K8)</f>
        <v>7056.3303712461575</v>
      </c>
      <c r="E21" s="126">
        <f t="shared" si="0"/>
        <v>1106.2652045114182</v>
      </c>
    </row>
    <row r="22" spans="2:5" x14ac:dyDescent="0.25">
      <c r="B22" s="338" t="s">
        <v>4</v>
      </c>
      <c r="C22" s="412">
        <f>SUM('25r'!K9)</f>
        <v>17303.224490150638</v>
      </c>
      <c r="D22" s="412">
        <f>SUM('24r'!K9)</f>
        <v>16302.046250000003</v>
      </c>
      <c r="E22" s="126">
        <f t="shared" si="0"/>
        <v>1001.1782401506352</v>
      </c>
    </row>
    <row r="23" spans="2:5" x14ac:dyDescent="0.25">
      <c r="B23" s="338" t="s">
        <v>471</v>
      </c>
      <c r="C23" s="412">
        <f>SUM('25r'!K10)</f>
        <v>35797.942535294111</v>
      </c>
      <c r="D23" s="412">
        <f>SUM('24r'!K10)</f>
        <v>35711.380042530567</v>
      </c>
      <c r="E23" s="126">
        <f t="shared" si="0"/>
        <v>86.56249276354356</v>
      </c>
    </row>
    <row r="24" spans="2:5" x14ac:dyDescent="0.25">
      <c r="B24" s="338" t="s">
        <v>472</v>
      </c>
      <c r="C24" s="412">
        <f>SUM('25r'!K11)</f>
        <v>39694.282996422182</v>
      </c>
      <c r="D24" s="412">
        <f>SUM('24r'!K11)</f>
        <v>39489.909419448471</v>
      </c>
      <c r="E24" s="126">
        <f t="shared" si="0"/>
        <v>204.37357697371044</v>
      </c>
    </row>
    <row r="25" spans="2:5" x14ac:dyDescent="0.25">
      <c r="B25" s="338" t="s">
        <v>470</v>
      </c>
      <c r="C25" s="412">
        <f>SUM('25r'!K12)</f>
        <v>11332.937571428572</v>
      </c>
      <c r="D25" s="412">
        <f>SUM('24r'!K12)</f>
        <v>11266.698989130435</v>
      </c>
      <c r="E25" s="126">
        <f t="shared" si="0"/>
        <v>66.238582298137771</v>
      </c>
    </row>
    <row r="26" spans="2:5" x14ac:dyDescent="0.25">
      <c r="B26" s="536" t="s">
        <v>291</v>
      </c>
      <c r="C26" s="537">
        <f>SUM('25r'!K13)</f>
        <v>15070.223823310136</v>
      </c>
      <c r="D26" s="537">
        <f>SUM('24r'!K13)</f>
        <v>14748.875445915857</v>
      </c>
      <c r="E26" s="436">
        <f>SUM(C26-D26)</f>
        <v>321.34837739427894</v>
      </c>
    </row>
    <row r="27" spans="2:5" x14ac:dyDescent="0.25">
      <c r="B27" s="338" t="s">
        <v>278</v>
      </c>
      <c r="C27" s="417">
        <f>SUM('25r'!K14)</f>
        <v>14884.860074397729</v>
      </c>
      <c r="D27" s="417">
        <f>SUM('24r'!K14)</f>
        <v>14570.759003113533</v>
      </c>
      <c r="E27" s="126">
        <f>SUM(C27-D27)</f>
        <v>314.10107128419622</v>
      </c>
    </row>
  </sheetData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588F-0E9A-4278-9023-405319B99C75}">
  <sheetPr>
    <tabColor theme="0"/>
  </sheetPr>
  <dimension ref="B1:Q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42578125" style="44" customWidth="1"/>
    <col min="2" max="2" width="52.85546875" style="44" customWidth="1"/>
    <col min="3" max="3" width="14.5703125" style="44" customWidth="1"/>
    <col min="4" max="4" width="13.42578125" style="44" customWidth="1"/>
    <col min="5" max="5" width="16.42578125" style="44" customWidth="1"/>
    <col min="6" max="6" width="16.7109375" style="44" customWidth="1"/>
    <col min="7" max="7" width="2.7109375" style="44" customWidth="1"/>
    <col min="8" max="8" width="8.85546875" style="44" customWidth="1"/>
    <col min="9" max="9" width="10.85546875" style="44" customWidth="1"/>
    <col min="10" max="10" width="3.5703125" style="44" customWidth="1"/>
    <col min="11" max="11" width="9.140625" style="44"/>
    <col min="12" max="12" width="10.7109375" style="44" customWidth="1"/>
    <col min="13" max="13" width="2.42578125" style="44" customWidth="1"/>
    <col min="14" max="14" width="9.140625" style="44"/>
    <col min="15" max="15" width="10.5703125" style="44" customWidth="1"/>
    <col min="16" max="16" width="59.85546875" style="44" customWidth="1"/>
    <col min="17" max="17" width="11" style="44" customWidth="1"/>
    <col min="18" max="16384" width="9.140625" style="44"/>
  </cols>
  <sheetData>
    <row r="1" spans="2:17" ht="25.5" customHeight="1" x14ac:dyDescent="0.2">
      <c r="B1" s="96" t="s">
        <v>490</v>
      </c>
      <c r="H1" s="44" t="s">
        <v>294</v>
      </c>
      <c r="K1" s="432" t="s">
        <v>295</v>
      </c>
    </row>
    <row r="2" spans="2:17" ht="50.25" customHeight="1" x14ac:dyDescent="0.2">
      <c r="B2" s="405" t="s">
        <v>54</v>
      </c>
      <c r="C2" s="405" t="s">
        <v>62</v>
      </c>
      <c r="D2" s="405" t="s">
        <v>292</v>
      </c>
      <c r="E2" s="405" t="s">
        <v>65</v>
      </c>
      <c r="F2" s="405" t="s">
        <v>65</v>
      </c>
      <c r="H2" s="769" t="s">
        <v>101</v>
      </c>
      <c r="I2" s="769"/>
      <c r="K2" s="769" t="s">
        <v>101</v>
      </c>
      <c r="L2" s="769"/>
      <c r="O2" s="405" t="s">
        <v>67</v>
      </c>
      <c r="P2" s="405"/>
      <c r="Q2" s="405" t="s">
        <v>469</v>
      </c>
    </row>
    <row r="3" spans="2:17" ht="17.25" customHeight="1" x14ac:dyDescent="0.2">
      <c r="B3" s="599" t="s">
        <v>55</v>
      </c>
      <c r="C3" s="599" t="s">
        <v>63</v>
      </c>
      <c r="D3" s="599" t="s">
        <v>293</v>
      </c>
      <c r="E3" s="599" t="s">
        <v>96</v>
      </c>
      <c r="F3" s="599" t="s">
        <v>66</v>
      </c>
      <c r="H3" s="428">
        <v>2015</v>
      </c>
      <c r="I3" s="124">
        <f>SUM('15r'!G13)</f>
        <v>74.300887584951909</v>
      </c>
      <c r="K3" s="428">
        <v>2015</v>
      </c>
      <c r="L3" s="124">
        <f>SUM('15r'!G14)</f>
        <v>74.481541403147517</v>
      </c>
      <c r="O3" s="599" t="s">
        <v>468</v>
      </c>
      <c r="P3" s="599"/>
      <c r="Q3" s="599" t="s">
        <v>492</v>
      </c>
    </row>
    <row r="4" spans="2:17" x14ac:dyDescent="0.2">
      <c r="B4" s="600"/>
      <c r="C4" s="601"/>
      <c r="D4" s="602" t="s">
        <v>64</v>
      </c>
      <c r="E4" s="602" t="s">
        <v>226</v>
      </c>
      <c r="F4" s="602" t="s">
        <v>64</v>
      </c>
      <c r="H4" s="428">
        <v>2016</v>
      </c>
      <c r="I4" s="130">
        <f>SUM('16r'!G13)</f>
        <v>80.570076292738051</v>
      </c>
      <c r="K4" s="428">
        <v>2016</v>
      </c>
      <c r="L4" s="124">
        <f>SUM('16r'!G14)</f>
        <v>80.824465337328235</v>
      </c>
      <c r="O4" s="601"/>
      <c r="P4" s="602"/>
      <c r="Q4" s="602"/>
    </row>
    <row r="5" spans="2:17" x14ac:dyDescent="0.2">
      <c r="B5" s="97" t="s">
        <v>2</v>
      </c>
      <c r="C5" s="122">
        <f>SUM(P.25!D50)</f>
        <v>6665.2149499999996</v>
      </c>
      <c r="D5" s="122">
        <f>SUM(P.25!AE24/P.25!D24)</f>
        <v>4488.3602356902356</v>
      </c>
      <c r="E5" s="122">
        <f>SUM(P.25!V50)</f>
        <v>51.242236024844722</v>
      </c>
      <c r="F5" s="122">
        <f>SUM(P.25!M50)</f>
        <v>10098.81053030303</v>
      </c>
      <c r="H5" s="428">
        <v>2017</v>
      </c>
      <c r="I5" s="130">
        <f>SUM('17r'!G13)</f>
        <v>86.138854069790952</v>
      </c>
      <c r="K5" s="428">
        <v>2017</v>
      </c>
      <c r="L5" s="519">
        <f>SUM('17r'!G14)</f>
        <v>86.38524875333411</v>
      </c>
      <c r="O5" s="533">
        <f>RANK(C5,$C$5:$C$11,1)+COUNTIF($C$5:C5,C5)-1</f>
        <v>1</v>
      </c>
      <c r="P5" s="534" t="str">
        <f>INDEX(B5:F11,MATCH(1,O5:O11,0),1)</f>
        <v>Szkolenia</v>
      </c>
      <c r="Q5" s="122">
        <f>INDEX(B5:F11,MATCH(1,O5:O11,0),2)</f>
        <v>6665.2149499999996</v>
      </c>
    </row>
    <row r="6" spans="2:17" x14ac:dyDescent="0.2">
      <c r="B6" s="97" t="s">
        <v>1</v>
      </c>
      <c r="C6" s="122">
        <f>SUM(P.25!C50)</f>
        <v>67134.324789999999</v>
      </c>
      <c r="D6" s="122">
        <f>SUM(P.25!AD24/P.25!C24)</f>
        <v>11298.27074890609</v>
      </c>
      <c r="E6" s="122">
        <f>SUM(P.25!U50)</f>
        <v>82.448610797379715</v>
      </c>
      <c r="F6" s="122">
        <f>SUM(P.25!L50)</f>
        <v>18392.965695890409</v>
      </c>
      <c r="H6" s="428">
        <v>2018</v>
      </c>
      <c r="I6" s="130">
        <f>SUM('18r'!G13)</f>
        <v>88.177561678372058</v>
      </c>
      <c r="K6" s="428">
        <v>2018</v>
      </c>
      <c r="L6" s="124">
        <f>SUM('18r'!G14)</f>
        <v>88.437805864079323</v>
      </c>
      <c r="O6" s="533">
        <f>RANK(C6,$C$5:$C$11,1)+COUNTIF($C$5:C6,C6)-1</f>
        <v>7</v>
      </c>
      <c r="P6" s="534" t="str">
        <f>INDEX(B5:F11,MATCH(2,O5:O11,0),1)</f>
        <v>Bon na zas.</v>
      </c>
      <c r="Q6" s="122">
        <f>INDEX(B5:F11,MATCH(2,O5:O11,0),2)</f>
        <v>9519.6675599999999</v>
      </c>
    </row>
    <row r="7" spans="2:17" x14ac:dyDescent="0.2">
      <c r="B7" s="97" t="s">
        <v>3</v>
      </c>
      <c r="C7" s="122">
        <f>SUM(P.25!E50)</f>
        <v>33670.706749999998</v>
      </c>
      <c r="D7" s="122">
        <f>SUM(P.25!AF24/P.25!E24)</f>
        <v>8162.5955757575757</v>
      </c>
      <c r="E7" s="122">
        <f>SUM(P.25!W50)</f>
        <v>93.262653898768804</v>
      </c>
      <c r="F7" s="122">
        <f>SUM(P.25!N50)</f>
        <v>12347.160524385772</v>
      </c>
      <c r="H7" s="428">
        <v>2019</v>
      </c>
      <c r="I7" s="130">
        <f>SUM('19r'!G13)</f>
        <v>89.150523268759741</v>
      </c>
      <c r="K7" s="428">
        <v>2019</v>
      </c>
      <c r="L7" s="124">
        <f>SUM('19r'!G14)</f>
        <v>89.357283771155636</v>
      </c>
      <c r="O7" s="533">
        <f>RANK(C7,$C$5:$C$11,1)+COUNTIF($C$5:C7,C7)-1</f>
        <v>4</v>
      </c>
      <c r="P7" s="534" t="str">
        <f>INDEX(B5:F11,MATCH(3,O5:O11,0),1)</f>
        <v>Roboty publiczne</v>
      </c>
      <c r="Q7" s="122">
        <f>INDEX(B5:F11,MATCH(3,O5:O11,0),2)</f>
        <v>29865.365469999997</v>
      </c>
    </row>
    <row r="8" spans="2:17" x14ac:dyDescent="0.2">
      <c r="B8" s="97" t="s">
        <v>4</v>
      </c>
      <c r="C8" s="122">
        <f>SUM(P.25!F50)</f>
        <v>29865.365469999997</v>
      </c>
      <c r="D8" s="122">
        <f>SUM(P.25!AG24/P.25!F24)</f>
        <v>17303.224490150638</v>
      </c>
      <c r="E8" s="122">
        <f>SUM(P.25!X50)</f>
        <v>96.568977841315231</v>
      </c>
      <c r="F8" s="122">
        <f>SUM(P.25!O50)</f>
        <v>22106.118038490007</v>
      </c>
      <c r="H8" s="428">
        <v>2020</v>
      </c>
      <c r="I8" s="130">
        <f>SUM('20r'!G13)</f>
        <v>88.49482103054936</v>
      </c>
      <c r="K8" s="428">
        <v>2020</v>
      </c>
      <c r="L8" s="124">
        <f>SUM('20r'!G14)</f>
        <v>88.769305606226439</v>
      </c>
      <c r="O8" s="533">
        <f>RANK(C8,$C$5:$C$11,1)+COUNTIF($C$5:C8,C8)-1</f>
        <v>3</v>
      </c>
      <c r="P8" s="534" t="str">
        <f>INDEX(B5:F11,MATCH(4,O5:O11,0),1)</f>
        <v>Prace interwencyjne</v>
      </c>
      <c r="Q8" s="122">
        <f>INDEX(B5:F11,MATCH(4,O5:O11,0),2)</f>
        <v>33670.706749999998</v>
      </c>
    </row>
    <row r="9" spans="2:17" ht="15" customHeight="1" x14ac:dyDescent="0.2">
      <c r="B9" s="97" t="s">
        <v>471</v>
      </c>
      <c r="C9" s="122">
        <f>SUM(P.25!G50)</f>
        <v>60856.502309999996</v>
      </c>
      <c r="D9" s="122">
        <f>SUM(P.25!AH24/P.25!G24)</f>
        <v>35797.942535294118</v>
      </c>
      <c r="E9" s="122">
        <f>SUM(P.25!Y50)</f>
        <v>97.348066298342545</v>
      </c>
      <c r="F9" s="597">
        <f>SUM(P.25!P50)</f>
        <v>34538.310051078319</v>
      </c>
      <c r="H9" s="428">
        <v>2021</v>
      </c>
      <c r="I9" s="130">
        <f>SUM('21r'!G13)</f>
        <v>89.171105625568401</v>
      </c>
      <c r="K9" s="428">
        <v>2021</v>
      </c>
      <c r="L9" s="124">
        <f>SUM('21r'!G14)</f>
        <v>89.471425067451563</v>
      </c>
      <c r="O9" s="533">
        <f>RANK(C9,$C$5:$C$11,1)+COUNTIF($C$5:C9,C9)-1</f>
        <v>6</v>
      </c>
      <c r="P9" s="534" t="str">
        <f>INDEX(B5:F11,MATCH(5,O5:O11,0),1)</f>
        <v>Refund. kosztów wyp. lub dopos. m. pracy</v>
      </c>
      <c r="Q9" s="122">
        <f>INDEX(B5:F11,MATCH(5,O5:O11,0),2)</f>
        <v>44378.208389999993</v>
      </c>
    </row>
    <row r="10" spans="2:17" ht="13.5" customHeight="1" x14ac:dyDescent="0.2">
      <c r="B10" s="97" t="s">
        <v>493</v>
      </c>
      <c r="C10" s="122">
        <f>SUM(P.25!H50)</f>
        <v>44378.208389999993</v>
      </c>
      <c r="D10" s="122">
        <f>SUM(P.25!AI24/P.25!H24)</f>
        <v>39694.282996422175</v>
      </c>
      <c r="E10" s="122">
        <f>SUM(P.25!Z50)</f>
        <v>89.86486486486487</v>
      </c>
      <c r="F10" s="597">
        <f>SUM(P.25!Q50)</f>
        <v>30333.703615857823</v>
      </c>
      <c r="H10" s="428">
        <v>2022</v>
      </c>
      <c r="I10" s="130">
        <f>SUM('22r'!G13)</f>
        <v>86.64716272907927</v>
      </c>
      <c r="K10" s="428">
        <v>2022</v>
      </c>
      <c r="L10" s="130">
        <f>SUM('22r'!G14)</f>
        <v>86.886017680598414</v>
      </c>
      <c r="O10" s="533">
        <f>RANK(C10,$C$5:$C$11,1)+COUNTIF($C$5:C10,C10)-1</f>
        <v>5</v>
      </c>
      <c r="P10" s="534" t="str">
        <f>INDEX(B5:F11,MATCH(6,O5:O11,0),1)</f>
        <v>Dof. działaln. gosp.</v>
      </c>
      <c r="Q10" s="122">
        <f>INDEX(B5:F11,MATCH(6,O5:O11,0),2)</f>
        <v>60856.502309999996</v>
      </c>
    </row>
    <row r="11" spans="2:17" ht="13.5" customHeight="1" x14ac:dyDescent="0.2">
      <c r="B11" s="97" t="s">
        <v>470</v>
      </c>
      <c r="C11" s="122">
        <f>SUM(P.25!I50)</f>
        <v>9519.6675599999999</v>
      </c>
      <c r="D11" s="122">
        <f>SUM(P.25!AJ24/P.25!I24)</f>
        <v>11332.937571428572</v>
      </c>
      <c r="E11" s="122">
        <f>SUM(P.25!AA50)</f>
        <v>82.754759238521842</v>
      </c>
      <c r="F11" s="122">
        <f>SUM(P.25!R50)</f>
        <v>12881.823491204332</v>
      </c>
      <c r="H11" s="429">
        <v>2023</v>
      </c>
      <c r="I11" s="431">
        <f>SUM('23r'!G13)</f>
        <v>86.041295220567093</v>
      </c>
      <c r="K11" s="429">
        <v>2023</v>
      </c>
      <c r="L11" s="431">
        <f>SUM('23r'!G14)</f>
        <v>86.359937062557648</v>
      </c>
      <c r="O11" s="533">
        <f>RANK(C11,$C$5:$C$11,1)+COUNTIF($C$5:C11,C11)-1</f>
        <v>2</v>
      </c>
      <c r="P11" s="534" t="str">
        <f>INDEX(B5:F11,MATCH(7,O5:O11,0),1)</f>
        <v>Staże</v>
      </c>
      <c r="Q11" s="122">
        <f>INDEX(B5:F11,MATCH(7,O5:O11,0),2)</f>
        <v>67134.324789999999</v>
      </c>
    </row>
    <row r="12" spans="2:17" ht="12.75" customHeight="1" x14ac:dyDescent="0.2">
      <c r="B12" s="426" t="s">
        <v>291</v>
      </c>
      <c r="C12" s="425">
        <f>SUM(C5:C10)</f>
        <v>242570.32265999995</v>
      </c>
      <c r="D12" s="425">
        <f>SUM('25r'!K13)</f>
        <v>15070.223823310136</v>
      </c>
      <c r="E12" s="424">
        <f>SUM(P.25!U24+P.25!V24+P.25!W24+P.25!X24+P.25!Y24+P.25!Z24)/(P.25!L24+P.25!M24+P.25!N24+P.25!O24+P.25!P24+P.25!Q24)*100</f>
        <v>86.175422974176314</v>
      </c>
      <c r="F12" s="424">
        <f>SUM(P.25!AD24+P.25!AE24+P.25!AF24+P.25!AG24+P.25!AH24+P.25!AI24)/(P.25!U24+P.25!V24+P.25!W24+P.25!X24+P.25!Y24+P.25!Z24)</f>
        <v>20887.82594161715</v>
      </c>
      <c r="H12" s="429">
        <v>2024</v>
      </c>
      <c r="I12" s="431">
        <f>SUM('24r'!G13)</f>
        <v>87.501660247044768</v>
      </c>
      <c r="K12" s="429">
        <v>2024</v>
      </c>
      <c r="L12" s="431">
        <f>SUM('24r'!G14)</f>
        <v>87.851101919871596</v>
      </c>
      <c r="O12" s="531"/>
      <c r="P12" s="532"/>
    </row>
    <row r="13" spans="2:17" ht="13.5" customHeight="1" x14ac:dyDescent="0.2">
      <c r="B13" s="97" t="s">
        <v>278</v>
      </c>
      <c r="C13" s="427">
        <f>SUM(C5:C11)</f>
        <v>252089.99021999995</v>
      </c>
      <c r="D13" s="427">
        <f>SUM('25r'!K14)</f>
        <v>14884.860074397729</v>
      </c>
      <c r="E13" s="122">
        <f>SUM(P.25!U24+P.25!V24+P.25!W24+P.25!X24+P.25!Y24+P.25!Z24+P.25!AA24)/(P.25!L24+P.25!M24+P.25!N24+P.25!O24+P.25!P24+P.25!Q24+P.25!R24)*100</f>
        <v>85.962836662259036</v>
      </c>
      <c r="F13" s="122">
        <f>SUM(P.25!AD24+P.25!AE24+P.25!AF24+P.25!AG24+P.25!AH24+P.25!AI24+P.25!AJ24)/(P.25!U24+P.25!V24+P.25!W24+P.25!X24+P.25!Y24+P.25!Z24+P.25!AA24)</f>
        <v>20408.839881800515</v>
      </c>
      <c r="H13" s="429">
        <v>2025</v>
      </c>
      <c r="I13" s="431">
        <f>SUM('25r'!G13)</f>
        <v>86.175422974176314</v>
      </c>
      <c r="K13" s="429">
        <v>2025</v>
      </c>
      <c r="L13" s="431">
        <f>SUM('25r'!G14)</f>
        <v>85.962836662259036</v>
      </c>
      <c r="O13" s="531"/>
      <c r="P13" s="532"/>
    </row>
    <row r="14" spans="2:17" ht="16.5" customHeight="1" x14ac:dyDescent="0.25">
      <c r="D14" s="430"/>
      <c r="H14" s="429"/>
      <c r="I14" s="431"/>
      <c r="K14" s="429"/>
      <c r="L14" s="431"/>
    </row>
    <row r="16" spans="2:17" x14ac:dyDescent="0.2">
      <c r="H16" s="44" t="s">
        <v>294</v>
      </c>
      <c r="K16" s="432" t="s">
        <v>295</v>
      </c>
    </row>
    <row r="17" spans="8:12" ht="56.25" customHeight="1" x14ac:dyDescent="0.2">
      <c r="H17" s="769" t="s">
        <v>60</v>
      </c>
      <c r="I17" s="769"/>
      <c r="K17" s="769" t="s">
        <v>60</v>
      </c>
      <c r="L17" s="769"/>
    </row>
    <row r="18" spans="8:12" x14ac:dyDescent="0.2">
      <c r="H18" s="428">
        <v>2015</v>
      </c>
      <c r="I18" s="126">
        <f>SUM('15r'!H13)</f>
        <v>13907.527365422102</v>
      </c>
      <c r="K18" s="428">
        <v>2015</v>
      </c>
      <c r="L18" s="126">
        <f>SUM('15r'!H14)</f>
        <v>13936.626184834126</v>
      </c>
    </row>
    <row r="19" spans="8:12" x14ac:dyDescent="0.2">
      <c r="H19" s="428">
        <v>2016</v>
      </c>
      <c r="I19" s="126">
        <f>SUM('16r'!H13)</f>
        <v>11609.894349217486</v>
      </c>
      <c r="K19" s="428">
        <v>2016</v>
      </c>
      <c r="L19" s="126">
        <f>SUM('16r'!H14)</f>
        <v>11585.453150965106</v>
      </c>
    </row>
    <row r="20" spans="8:12" ht="12" customHeight="1" x14ac:dyDescent="0.2">
      <c r="H20" s="428">
        <v>2017</v>
      </c>
      <c r="I20" s="126">
        <f>SUM('17r'!H13)</f>
        <v>11688.893583063418</v>
      </c>
      <c r="K20" s="428">
        <v>2017</v>
      </c>
      <c r="L20" s="126">
        <f>SUM('17r'!H14)</f>
        <v>11606.618338031951</v>
      </c>
    </row>
    <row r="21" spans="8:12" x14ac:dyDescent="0.2">
      <c r="H21" s="428">
        <v>2018</v>
      </c>
      <c r="I21" s="126">
        <f>SUM('18r'!H13)</f>
        <v>10588.083324823854</v>
      </c>
      <c r="K21" s="428">
        <v>2018</v>
      </c>
      <c r="L21" s="126">
        <f>SUM('18r'!H14)</f>
        <v>10428.115677028198</v>
      </c>
    </row>
    <row r="22" spans="8:12" x14ac:dyDescent="0.2">
      <c r="H22" s="428">
        <v>2019</v>
      </c>
      <c r="I22" s="126">
        <f>SUM('19r'!H13)</f>
        <v>10436.921635966282</v>
      </c>
      <c r="K22" s="428">
        <v>2019</v>
      </c>
      <c r="L22" s="126">
        <f>SUM('19r'!H14)</f>
        <v>10347.87357657448</v>
      </c>
    </row>
    <row r="23" spans="8:12" x14ac:dyDescent="0.2">
      <c r="H23" s="428">
        <v>2020</v>
      </c>
      <c r="I23" s="126">
        <f>SUM('20r'!H13)</f>
        <v>11096.925698199866</v>
      </c>
      <c r="K23" s="428">
        <v>2020</v>
      </c>
      <c r="L23" s="126">
        <f>SUM('20r'!H14)</f>
        <v>10736.48195081855</v>
      </c>
    </row>
    <row r="24" spans="8:12" x14ac:dyDescent="0.2">
      <c r="H24" s="428">
        <v>2021</v>
      </c>
      <c r="I24" s="126">
        <f>SUM('21r'!H13)</f>
        <v>15695.294915130766</v>
      </c>
      <c r="K24" s="428">
        <v>2021</v>
      </c>
      <c r="L24" s="126">
        <f>SUM('21r'!H14)</f>
        <v>15320.115876910426</v>
      </c>
    </row>
    <row r="25" spans="8:12" x14ac:dyDescent="0.2">
      <c r="H25" s="428">
        <v>2022</v>
      </c>
      <c r="I25" s="126">
        <f>SUM('22r'!H13)</f>
        <v>17604.605179970695</v>
      </c>
      <c r="K25" s="428">
        <v>2022</v>
      </c>
      <c r="L25" s="126">
        <f>SUM('22r'!H14)</f>
        <v>17253.479125827813</v>
      </c>
    </row>
    <row r="26" spans="8:12" x14ac:dyDescent="0.2">
      <c r="H26" s="429">
        <v>2023</v>
      </c>
      <c r="I26" s="126">
        <f>SUM('23r'!H13)</f>
        <v>18474.770064839573</v>
      </c>
      <c r="K26" s="429">
        <v>2023</v>
      </c>
      <c r="L26" s="126">
        <f>SUM('23r'!H14)</f>
        <v>18122.698253439721</v>
      </c>
    </row>
    <row r="27" spans="8:12" x14ac:dyDescent="0.2">
      <c r="H27" s="429">
        <v>2024</v>
      </c>
      <c r="I27" s="126">
        <f>SUM('24r'!H13)</f>
        <v>19103.241375227688</v>
      </c>
      <c r="K27" s="429">
        <v>2024</v>
      </c>
      <c r="L27" s="126">
        <f>SUM('24r'!H14)</f>
        <v>18415.408012788983</v>
      </c>
    </row>
    <row r="28" spans="8:12" x14ac:dyDescent="0.2">
      <c r="H28" s="429">
        <v>2025</v>
      </c>
      <c r="I28" s="126">
        <f>SUM('25r'!H13)</f>
        <v>20887.82594161715</v>
      </c>
      <c r="K28" s="429">
        <v>2025</v>
      </c>
      <c r="L28" s="126">
        <f>SUM('25r'!H14)</f>
        <v>20408.839881800512</v>
      </c>
    </row>
    <row r="29" spans="8:12" x14ac:dyDescent="0.2">
      <c r="H29" s="429"/>
      <c r="I29" s="126"/>
      <c r="K29" s="429"/>
      <c r="L29" s="126"/>
    </row>
  </sheetData>
  <mergeCells count="4">
    <mergeCell ref="H2:I2"/>
    <mergeCell ref="K2:L2"/>
    <mergeCell ref="H17:I17"/>
    <mergeCell ref="K17:L17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39997558519241921"/>
    <pageSetUpPr fitToPage="1"/>
  </sheetPr>
  <dimension ref="B1:P27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44" customWidth="1"/>
    <col min="2" max="2" width="63.7109375" style="44" customWidth="1"/>
    <col min="3" max="3" width="7.85546875" style="44" customWidth="1"/>
    <col min="4" max="4" width="8" style="44" customWidth="1"/>
    <col min="5" max="5" width="7.28515625" style="44" customWidth="1"/>
    <col min="6" max="6" width="7.5703125" style="44" customWidth="1"/>
    <col min="7" max="7" width="7.28515625" style="44" customWidth="1"/>
    <col min="8" max="9" width="7.140625" style="44" customWidth="1"/>
    <col min="10" max="10" width="6.5703125" style="44" customWidth="1"/>
    <col min="11" max="11" width="6.42578125" style="44" customWidth="1"/>
    <col min="12" max="12" width="7.140625" style="44" customWidth="1"/>
    <col min="13" max="13" width="7.28515625" style="44" customWidth="1"/>
    <col min="14" max="15" width="9.140625" style="44"/>
    <col min="16" max="16" width="10" style="44" bestFit="1" customWidth="1"/>
    <col min="17" max="16384" width="9.140625" style="44"/>
  </cols>
  <sheetData>
    <row r="1" spans="2:16" x14ac:dyDescent="0.2">
      <c r="B1" s="44" t="s">
        <v>467</v>
      </c>
    </row>
    <row r="2" spans="2:16" ht="14.25" customHeight="1" x14ac:dyDescent="0.2">
      <c r="B2" s="770" t="s">
        <v>159</v>
      </c>
      <c r="C2" s="590"/>
      <c r="D2" s="591"/>
      <c r="E2" s="592" t="s">
        <v>160</v>
      </c>
      <c r="F2" s="591"/>
      <c r="G2" s="591"/>
      <c r="H2" s="591"/>
      <c r="I2" s="591"/>
      <c r="J2" s="591"/>
      <c r="K2" s="593"/>
      <c r="L2" s="593"/>
      <c r="M2" s="593"/>
    </row>
    <row r="3" spans="2:16" x14ac:dyDescent="0.2">
      <c r="B3" s="770"/>
      <c r="C3" s="594"/>
      <c r="D3" s="594"/>
      <c r="E3" s="594"/>
      <c r="F3" s="594"/>
      <c r="G3" s="594"/>
      <c r="H3" s="594"/>
      <c r="I3" s="594"/>
      <c r="J3" s="594"/>
      <c r="K3" s="595"/>
      <c r="L3" s="595"/>
      <c r="M3" s="595"/>
    </row>
    <row r="4" spans="2:16" x14ac:dyDescent="0.2">
      <c r="B4" s="770"/>
      <c r="C4" s="548">
        <v>2015</v>
      </c>
      <c r="D4" s="548">
        <v>2016</v>
      </c>
      <c r="E4" s="548">
        <v>2017</v>
      </c>
      <c r="F4" s="548">
        <v>2018</v>
      </c>
      <c r="G4" s="548">
        <v>2019</v>
      </c>
      <c r="H4" s="548">
        <v>2020</v>
      </c>
      <c r="I4" s="548">
        <v>2021</v>
      </c>
      <c r="J4" s="548">
        <v>2022</v>
      </c>
      <c r="K4" s="545">
        <v>2023</v>
      </c>
      <c r="L4" s="545">
        <v>2024</v>
      </c>
      <c r="M4" s="545">
        <v>2025</v>
      </c>
    </row>
    <row r="5" spans="2:16" x14ac:dyDescent="0.2">
      <c r="B5" s="433" t="s">
        <v>2</v>
      </c>
      <c r="C5" s="124">
        <f>SUM('15r'!G6)</f>
        <v>41.414611447184733</v>
      </c>
      <c r="D5" s="124">
        <f>SUM('16r'!G6)</f>
        <v>50.45554508325479</v>
      </c>
      <c r="E5" s="519">
        <f>SUM('17r'!G6)</f>
        <v>64.48294531672984</v>
      </c>
      <c r="F5" s="124">
        <f>SUM('18r'!G6)</f>
        <v>69.614243323442139</v>
      </c>
      <c r="G5" s="124">
        <f>SUM('19r'!G6)</f>
        <v>75.143678160919535</v>
      </c>
      <c r="H5" s="124">
        <f>SUM('20r'!G6)</f>
        <v>65.578231292517003</v>
      </c>
      <c r="I5" s="124">
        <f>SUM('21r'!G6)</f>
        <v>65.952080706179061</v>
      </c>
      <c r="J5" s="124">
        <f>SUM('22r'!G6)</f>
        <v>52.031978680879412</v>
      </c>
      <c r="K5" s="124">
        <f>SUM('23r'!G6)</f>
        <v>48.603351955307261</v>
      </c>
      <c r="L5" s="124">
        <f>SUM('24r'!G6)</f>
        <v>56.77570093457944</v>
      </c>
      <c r="M5" s="124">
        <f>SUM('25r'!G6)</f>
        <v>51.242236024844722</v>
      </c>
      <c r="P5" s="520"/>
    </row>
    <row r="6" spans="2:16" x14ac:dyDescent="0.2">
      <c r="B6" s="433" t="s">
        <v>1</v>
      </c>
      <c r="C6" s="124">
        <f>SUM('15r'!G7)</f>
        <v>78.195786472358634</v>
      </c>
      <c r="D6" s="124">
        <f>SUM('16r'!G7)</f>
        <v>81.938931297709928</v>
      </c>
      <c r="E6" s="519">
        <f>SUM('17r'!G7)</f>
        <v>84.478533176000724</v>
      </c>
      <c r="F6" s="124">
        <f>SUM('18r'!G7)</f>
        <v>85.222608146510893</v>
      </c>
      <c r="G6" s="124">
        <f>SUM('19r'!G7)</f>
        <v>85.195060342408084</v>
      </c>
      <c r="H6" s="124">
        <f>SUM('20r'!G7)</f>
        <v>82.096226077624763</v>
      </c>
      <c r="I6" s="124">
        <f>SUM('21r'!G7)</f>
        <v>85.895565927654602</v>
      </c>
      <c r="J6" s="124">
        <f>SUM('22r'!G7)</f>
        <v>85.071629401526309</v>
      </c>
      <c r="K6" s="124">
        <f>SUM('23r'!G7)</f>
        <v>83.169496574322309</v>
      </c>
      <c r="L6" s="124">
        <f>SUM('24r'!G7)</f>
        <v>83.199831365935921</v>
      </c>
      <c r="M6" s="124">
        <f>SUM('25r'!G7)</f>
        <v>82.448610797379715</v>
      </c>
      <c r="P6" s="520"/>
    </row>
    <row r="7" spans="2:16" x14ac:dyDescent="0.2">
      <c r="B7" s="433" t="s">
        <v>3</v>
      </c>
      <c r="C7" s="124">
        <f>SUM('15r'!G8)</f>
        <v>88.093385214007782</v>
      </c>
      <c r="D7" s="124">
        <f>SUM('16r'!G8)</f>
        <v>86.348642476528809</v>
      </c>
      <c r="E7" s="519">
        <f>SUM('17r'!G8)</f>
        <v>90.539772727272734</v>
      </c>
      <c r="F7" s="124">
        <f>SUM('18r'!G8)</f>
        <v>93.16996871741398</v>
      </c>
      <c r="G7" s="124">
        <f>SUM('19r'!G8)</f>
        <v>93.551263001485879</v>
      </c>
      <c r="H7" s="124">
        <f>SUM('20r'!G8)</f>
        <v>94.114114114114116</v>
      </c>
      <c r="I7" s="124">
        <f>SUM('21r'!G8)</f>
        <v>94.459459459459467</v>
      </c>
      <c r="J7" s="124">
        <f>SUM('22r'!G8)</f>
        <v>93.357320786050366</v>
      </c>
      <c r="K7" s="124">
        <f>SUM('23r'!G8)</f>
        <v>93.75</v>
      </c>
      <c r="L7" s="124">
        <f>SUM('24r'!G8)</f>
        <v>93.311688311688314</v>
      </c>
      <c r="M7" s="124">
        <f>SUM('25r'!G8)</f>
        <v>93.262653898768804</v>
      </c>
      <c r="P7" s="520"/>
    </row>
    <row r="8" spans="2:16" x14ac:dyDescent="0.2">
      <c r="B8" s="433" t="s">
        <v>4</v>
      </c>
      <c r="C8" s="124">
        <f>SUM('15r'!G9)</f>
        <v>79.113300492610833</v>
      </c>
      <c r="D8" s="124">
        <f>SUM('16r'!G9)</f>
        <v>85.858585858585855</v>
      </c>
      <c r="E8" s="519">
        <f>SUM('17r'!G9)</f>
        <v>91.737288135593218</v>
      </c>
      <c r="F8" s="124">
        <f>SUM('18r'!G9)</f>
        <v>94.199999999999989</v>
      </c>
      <c r="G8" s="124">
        <f>SUM('19r'!G9)</f>
        <v>94.475920679886684</v>
      </c>
      <c r="H8" s="124">
        <f>SUM('20r'!G9)</f>
        <v>92.0136518771331</v>
      </c>
      <c r="I8" s="124">
        <f>SUM('21r'!G9)</f>
        <v>95.259449071108264</v>
      </c>
      <c r="J8" s="124">
        <f>SUM('22r'!G9)</f>
        <v>94.23585404547859</v>
      </c>
      <c r="K8" s="124">
        <f>SUM('23r'!G9)</f>
        <v>95.800671892497206</v>
      </c>
      <c r="L8" s="124">
        <f>SUM('24r'!G9)</f>
        <v>95.273173726212406</v>
      </c>
      <c r="M8" s="124">
        <f>SUM('25r'!G9)</f>
        <v>96.568977841315231</v>
      </c>
      <c r="P8" s="520"/>
    </row>
    <row r="9" spans="2:16" x14ac:dyDescent="0.2">
      <c r="B9" s="433" t="s">
        <v>56</v>
      </c>
      <c r="C9" s="124">
        <f>SUM('15r'!G10)</f>
        <v>90.218832891246677</v>
      </c>
      <c r="D9" s="124">
        <f>SUM('16r'!G10)</f>
        <v>94.581280788177338</v>
      </c>
      <c r="E9" s="519">
        <f>SUM('17r'!G10)</f>
        <v>95.320680628272243</v>
      </c>
      <c r="F9" s="124">
        <f>SUM('18r'!G10)</f>
        <v>96.961538461538467</v>
      </c>
      <c r="G9" s="124">
        <f>SUM('19r'!G10)</f>
        <v>97.288547146904094</v>
      </c>
      <c r="H9" s="124">
        <f>SUM('20r'!G10)</f>
        <v>98.687664041994751</v>
      </c>
      <c r="I9" s="124">
        <f>SUM('21r'!G10)</f>
        <v>97.169230769230779</v>
      </c>
      <c r="J9" s="124">
        <f>SUM('22r'!G10)</f>
        <v>95.395869191049911</v>
      </c>
      <c r="K9" s="124">
        <f>SUM('23r'!G10)</f>
        <v>96.240601503759393</v>
      </c>
      <c r="L9" s="124">
        <f>SUM('24r'!G10)</f>
        <v>96.070811744386873</v>
      </c>
      <c r="M9" s="124">
        <f>SUM('25r'!G10)</f>
        <v>97.348066298342545</v>
      </c>
      <c r="P9" s="520"/>
    </row>
    <row r="10" spans="2:16" ht="14.25" customHeight="1" x14ac:dyDescent="0.2">
      <c r="B10" s="433" t="s">
        <v>57</v>
      </c>
      <c r="C10" s="124">
        <f>SUM('15r'!G11)</f>
        <v>73.858399664851277</v>
      </c>
      <c r="D10" s="124">
        <f>SUM('16r'!G11)</f>
        <v>81.677332435163351</v>
      </c>
      <c r="E10" s="519">
        <f>SUM('17r'!G11)</f>
        <v>86.659843056977138</v>
      </c>
      <c r="F10" s="124">
        <f>SUM('18r'!G11)</f>
        <v>90.231660231660229</v>
      </c>
      <c r="G10" s="124">
        <f>SUM('19r'!G11)</f>
        <v>91.53776160145587</v>
      </c>
      <c r="H10" s="124">
        <f>SUM('20r'!G11)</f>
        <v>91.445587439090417</v>
      </c>
      <c r="I10" s="124">
        <f>SUM('21r'!G11)</f>
        <v>90.869293308317694</v>
      </c>
      <c r="J10" s="124">
        <f>SUM('22r'!G11)</f>
        <v>90.28831562974203</v>
      </c>
      <c r="K10" s="124">
        <f>SUM('23r'!G11)</f>
        <v>89.355581127733032</v>
      </c>
      <c r="L10" s="124">
        <f>SUM('24r'!G11)</f>
        <v>92.219451371571068</v>
      </c>
      <c r="M10" s="124">
        <f>SUM('25r'!G11)</f>
        <v>89.86486486486487</v>
      </c>
      <c r="P10" s="520"/>
    </row>
    <row r="11" spans="2:16" ht="12" customHeight="1" x14ac:dyDescent="0.2">
      <c r="B11" s="433" t="s">
        <v>11</v>
      </c>
      <c r="C11" s="124">
        <f>SUM('15r'!G12)</f>
        <v>92.565055762081784</v>
      </c>
      <c r="D11" s="124">
        <f>SUM('16r'!G12)</f>
        <v>90.758620689655174</v>
      </c>
      <c r="E11" s="519">
        <f>SUM('17r'!G12)</f>
        <v>91.739894551845353</v>
      </c>
      <c r="F11" s="124">
        <f>SUM('18r'!G12)</f>
        <v>92.929292929292927</v>
      </c>
      <c r="G11" s="124">
        <f>SUM('19r'!G12)</f>
        <v>92.218798151001536</v>
      </c>
      <c r="H11" s="124">
        <f>SUM('20r'!G12)</f>
        <v>92.281879194630861</v>
      </c>
      <c r="I11" s="124">
        <f>SUM('21r'!G12)</f>
        <v>94.529540481400446</v>
      </c>
      <c r="J11" s="124">
        <f>SUM('22r'!G12)</f>
        <v>91.208791208791212</v>
      </c>
      <c r="K11" s="124">
        <f>SUM('23r'!G12)</f>
        <v>91.666666666666657</v>
      </c>
      <c r="L11" s="124">
        <f>SUM('24r'!G12)</f>
        <v>92.462751971954432</v>
      </c>
      <c r="M11" s="124">
        <f>SUM('25r'!G12)</f>
        <v>82.754759238521842</v>
      </c>
      <c r="P11" s="520"/>
    </row>
    <row r="12" spans="2:16" ht="12" customHeight="1" x14ac:dyDescent="0.2">
      <c r="B12" s="434" t="s">
        <v>280</v>
      </c>
      <c r="C12" s="521">
        <f>SUM('15r'!G13)</f>
        <v>74.300887584951909</v>
      </c>
      <c r="D12" s="521">
        <f>SUM('16r'!G13)</f>
        <v>80.570076292738051</v>
      </c>
      <c r="E12" s="521">
        <f>SUM('17r'!G13)</f>
        <v>86.138854069790952</v>
      </c>
      <c r="F12" s="521">
        <f>SUM('18r'!G13)</f>
        <v>88.177561678372058</v>
      </c>
      <c r="G12" s="521">
        <f>SUM('19r'!G13)</f>
        <v>89.150523268759741</v>
      </c>
      <c r="H12" s="521">
        <f>SUM('20r'!G13)</f>
        <v>88.49482103054936</v>
      </c>
      <c r="I12" s="521">
        <f>SUM('21r'!G13)</f>
        <v>89.171105625568401</v>
      </c>
      <c r="J12" s="521">
        <f>SUM('22r'!G13)</f>
        <v>86.64716272907927</v>
      </c>
      <c r="K12" s="521">
        <f>SUM('23r'!G13)</f>
        <v>86.041295220567093</v>
      </c>
      <c r="L12" s="521">
        <f>SUM('24r'!G13)</f>
        <v>87.501660247044768</v>
      </c>
      <c r="M12" s="521">
        <f>SUM('25r'!G13)</f>
        <v>86.175422974176314</v>
      </c>
      <c r="P12" s="520"/>
    </row>
    <row r="13" spans="2:16" x14ac:dyDescent="0.2">
      <c r="B13" s="433" t="s">
        <v>278</v>
      </c>
      <c r="C13" s="519">
        <f>SUM('15r'!G14)</f>
        <v>74.481541403147517</v>
      </c>
      <c r="D13" s="519">
        <f>SUM('16r'!G14)</f>
        <v>80.824465337328235</v>
      </c>
      <c r="E13" s="519">
        <f>SUM('17r'!G14)</f>
        <v>86.38524875333411</v>
      </c>
      <c r="F13" s="519">
        <f>SUM('18r'!G14)</f>
        <v>88.437805864079323</v>
      </c>
      <c r="G13" s="519">
        <f>SUM('19r'!G14)</f>
        <v>89.357283771155636</v>
      </c>
      <c r="H13" s="519">
        <f>SUM('20r'!G14)</f>
        <v>88.769305606226439</v>
      </c>
      <c r="I13" s="519">
        <f>SUM('21r'!G14)</f>
        <v>89.471425067451563</v>
      </c>
      <c r="J13" s="519">
        <f>SUM('22r'!G14)</f>
        <v>86.886017680598414</v>
      </c>
      <c r="K13" s="519">
        <f>SUM('23r'!G14)</f>
        <v>86.359937062557648</v>
      </c>
      <c r="L13" s="519">
        <f>SUM('24r'!G14)</f>
        <v>87.851101919871596</v>
      </c>
      <c r="M13" s="519">
        <f>SUM('25r'!G14)</f>
        <v>85.962836662259036</v>
      </c>
      <c r="P13" s="520"/>
    </row>
    <row r="14" spans="2:16" x14ac:dyDescent="0.2">
      <c r="B14" s="82"/>
    </row>
    <row r="15" spans="2:16" x14ac:dyDescent="0.2">
      <c r="B15" s="82"/>
    </row>
    <row r="16" spans="2:16" x14ac:dyDescent="0.2">
      <c r="B16" s="770" t="s">
        <v>159</v>
      </c>
      <c r="C16" s="522" t="s">
        <v>161</v>
      </c>
      <c r="D16" s="522" t="s">
        <v>161</v>
      </c>
      <c r="E16" s="522" t="s">
        <v>161</v>
      </c>
    </row>
    <row r="17" spans="2:5" ht="22.5" x14ac:dyDescent="0.2">
      <c r="B17" s="770"/>
      <c r="C17" s="523" t="s">
        <v>162</v>
      </c>
      <c r="D17" s="523" t="s">
        <v>162</v>
      </c>
      <c r="E17" s="523" t="s">
        <v>162</v>
      </c>
    </row>
    <row r="18" spans="2:5" ht="19.5" x14ac:dyDescent="0.2">
      <c r="B18" s="770"/>
      <c r="C18" s="524" t="s">
        <v>277</v>
      </c>
      <c r="D18" s="524" t="s">
        <v>463</v>
      </c>
      <c r="E18" s="524" t="s">
        <v>491</v>
      </c>
    </row>
    <row r="19" spans="2:5" x14ac:dyDescent="0.2">
      <c r="B19" s="433" t="s">
        <v>2</v>
      </c>
      <c r="C19" s="526">
        <f>SUM(M5-C5)/C5*100</f>
        <v>23.729848558866649</v>
      </c>
      <c r="D19" s="526">
        <f>SUM(M5-K5)/K5*100</f>
        <v>5.4294281430713287</v>
      </c>
      <c r="E19" s="525">
        <f>SUM(M5-L5)/L5*100</f>
        <v>-9.7461851085039477</v>
      </c>
    </row>
    <row r="20" spans="2:5" x14ac:dyDescent="0.2">
      <c r="B20" s="433" t="s">
        <v>1</v>
      </c>
      <c r="C20" s="526">
        <f>SUM(M6-C6)/C6*100</f>
        <v>5.4386873217579419</v>
      </c>
      <c r="D20" s="525">
        <f t="shared" ref="D20:D27" si="0">SUM(M6-K6)/K6*100</f>
        <v>-0.86676703194709537</v>
      </c>
      <c r="E20" s="525">
        <f>SUM(M6-L6)/L6*100</f>
        <v>-0.90291116727404197</v>
      </c>
    </row>
    <row r="21" spans="2:5" x14ac:dyDescent="0.2">
      <c r="B21" s="433" t="s">
        <v>3</v>
      </c>
      <c r="C21" s="526">
        <f t="shared" ref="C21:C27" si="1">SUM(M7-C7)/C7*100</f>
        <v>5.8679419257225387</v>
      </c>
      <c r="D21" s="525">
        <f t="shared" si="0"/>
        <v>-0.5198358413132762</v>
      </c>
      <c r="E21" s="525">
        <f>SUM(M7-L7)/L7*100</f>
        <v>-5.2549057686880077E-2</v>
      </c>
    </row>
    <row r="22" spans="2:5" x14ac:dyDescent="0.2">
      <c r="B22" s="433" t="s">
        <v>4</v>
      </c>
      <c r="C22" s="526">
        <f t="shared" si="1"/>
        <v>22.064150073393481</v>
      </c>
      <c r="D22" s="526">
        <f t="shared" si="0"/>
        <v>0.80198388345353133</v>
      </c>
      <c r="E22" s="526">
        <f t="shared" ref="E22:E27" si="2">SUM(M8-L8)/L8*100</f>
        <v>1.360093365658829</v>
      </c>
    </row>
    <row r="23" spans="2:5" x14ac:dyDescent="0.2">
      <c r="B23" s="433" t="s">
        <v>56</v>
      </c>
      <c r="C23" s="526">
        <f t="shared" si="1"/>
        <v>7.9021565438445931</v>
      </c>
      <c r="D23" s="526">
        <f t="shared" si="0"/>
        <v>1.150725138121556</v>
      </c>
      <c r="E23" s="526">
        <f t="shared" si="2"/>
        <v>1.3294928300949824</v>
      </c>
    </row>
    <row r="24" spans="2:5" ht="14.25" customHeight="1" x14ac:dyDescent="0.2">
      <c r="B24" s="433" t="s">
        <v>57</v>
      </c>
      <c r="C24" s="526">
        <f t="shared" si="1"/>
        <v>21.671827811929919</v>
      </c>
      <c r="D24" s="526">
        <f t="shared" si="0"/>
        <v>0.56995179339029922</v>
      </c>
      <c r="E24" s="525">
        <f t="shared" si="2"/>
        <v>-2.5532428047300852</v>
      </c>
    </row>
    <row r="25" spans="2:5" x14ac:dyDescent="0.2">
      <c r="B25" s="433" t="s">
        <v>11</v>
      </c>
      <c r="C25" s="525">
        <f>SUM(M11-C11)/C11*100</f>
        <v>-10.598272147942266</v>
      </c>
      <c r="D25" s="525">
        <f t="shared" si="0"/>
        <v>-9.722080830703435</v>
      </c>
      <c r="E25" s="525">
        <f t="shared" si="2"/>
        <v>-10.499355174262165</v>
      </c>
    </row>
    <row r="26" spans="2:5" x14ac:dyDescent="0.2">
      <c r="B26" s="434" t="s">
        <v>280</v>
      </c>
      <c r="C26" s="219">
        <f t="shared" si="1"/>
        <v>15.981687130786504</v>
      </c>
      <c r="D26" s="219">
        <f t="shared" si="0"/>
        <v>0.15588765053499465</v>
      </c>
      <c r="E26" s="596">
        <f t="shared" si="2"/>
        <v>-1.5156709816980249</v>
      </c>
    </row>
    <row r="27" spans="2:5" x14ac:dyDescent="0.2">
      <c r="B27" s="433" t="s">
        <v>278</v>
      </c>
      <c r="C27" s="526">
        <f t="shared" si="1"/>
        <v>15.414953883629391</v>
      </c>
      <c r="D27" s="525">
        <f t="shared" si="0"/>
        <v>-0.4598201594461091</v>
      </c>
      <c r="E27" s="525">
        <f t="shared" si="2"/>
        <v>-2.1493927979808762</v>
      </c>
    </row>
  </sheetData>
  <mergeCells count="2">
    <mergeCell ref="B2:B4"/>
    <mergeCell ref="B16:B18"/>
  </mergeCells>
  <pageMargins left="0.7" right="0.7" top="0.75" bottom="0.75" header="0.3" footer="0.3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8985D-A48F-45E9-B681-C72932E0BB8C}">
  <sheetPr>
    <tabColor theme="3" tint="0.59999389629810485"/>
  </sheetPr>
  <dimension ref="B1:N27"/>
  <sheetViews>
    <sheetView zoomScale="80" zoomScaleNormal="80" workbookViewId="0">
      <selection activeCell="B1" sqref="B1"/>
    </sheetView>
  </sheetViews>
  <sheetFormatPr defaultRowHeight="14.25" x14ac:dyDescent="0.2"/>
  <cols>
    <col min="1" max="1" width="2.42578125" style="44" customWidth="1"/>
    <col min="2" max="2" width="64.5703125" style="44" customWidth="1"/>
    <col min="3" max="4" width="17.7109375" style="44" customWidth="1"/>
    <col min="5" max="5" width="19.7109375" style="44" customWidth="1"/>
    <col min="6" max="6" width="19" style="44" customWidth="1"/>
    <col min="7" max="7" width="17.85546875" style="44" customWidth="1"/>
    <col min="8" max="8" width="3.42578125" style="44" customWidth="1"/>
    <col min="9" max="9" width="65" style="44" customWidth="1"/>
    <col min="10" max="10" width="18.85546875" style="44" customWidth="1"/>
    <col min="11" max="11" width="18.42578125" style="44" customWidth="1"/>
    <col min="12" max="12" width="18.28515625" style="44" customWidth="1"/>
    <col min="13" max="13" width="18.140625" style="44" customWidth="1"/>
    <col min="14" max="14" width="17.85546875" style="44" customWidth="1"/>
    <col min="15" max="15" width="14.28515625" style="44" customWidth="1"/>
    <col min="16" max="16384" width="9.140625" style="44"/>
  </cols>
  <sheetData>
    <row r="1" spans="2:14" ht="15" thickBot="1" x14ac:dyDescent="0.25">
      <c r="B1" s="44" t="s">
        <v>466</v>
      </c>
      <c r="E1" s="474" t="s">
        <v>248</v>
      </c>
      <c r="F1" s="474" t="s">
        <v>248</v>
      </c>
      <c r="I1" s="44" t="s">
        <v>466</v>
      </c>
      <c r="L1" s="474" t="s">
        <v>248</v>
      </c>
      <c r="M1" s="474" t="s">
        <v>248</v>
      </c>
    </row>
    <row r="2" spans="2:14" ht="28.5" customHeight="1" x14ac:dyDescent="0.2">
      <c r="B2" s="576" t="s">
        <v>223</v>
      </c>
      <c r="C2" s="565" t="s">
        <v>289</v>
      </c>
      <c r="D2" s="566" t="s">
        <v>289</v>
      </c>
      <c r="E2" s="565" t="s">
        <v>473</v>
      </c>
      <c r="F2" s="566" t="s">
        <v>473</v>
      </c>
      <c r="G2" s="573" t="s">
        <v>224</v>
      </c>
      <c r="H2" s="435"/>
      <c r="I2" s="576" t="s">
        <v>223</v>
      </c>
      <c r="J2" s="565" t="s">
        <v>289</v>
      </c>
      <c r="K2" s="566" t="s">
        <v>289</v>
      </c>
      <c r="L2" s="565" t="s">
        <v>473</v>
      </c>
      <c r="M2" s="566" t="s">
        <v>473</v>
      </c>
      <c r="N2" s="573" t="s">
        <v>224</v>
      </c>
    </row>
    <row r="3" spans="2:14" ht="16.5" customHeight="1" thickBot="1" x14ac:dyDescent="0.25">
      <c r="B3" s="585"/>
      <c r="C3" s="586">
        <v>2023</v>
      </c>
      <c r="D3" s="587">
        <v>2024</v>
      </c>
      <c r="E3" s="586">
        <v>2023</v>
      </c>
      <c r="F3" s="587">
        <v>2024</v>
      </c>
      <c r="G3" s="588" t="s">
        <v>249</v>
      </c>
      <c r="H3" s="256"/>
      <c r="I3" s="585"/>
      <c r="J3" s="586">
        <v>2022</v>
      </c>
      <c r="K3" s="587">
        <v>2023</v>
      </c>
      <c r="L3" s="586">
        <v>2022</v>
      </c>
      <c r="M3" s="587">
        <v>2023</v>
      </c>
      <c r="N3" s="588" t="s">
        <v>249</v>
      </c>
    </row>
    <row r="4" spans="2:14" x14ac:dyDescent="0.2">
      <c r="B4" s="581" t="s">
        <v>2</v>
      </c>
      <c r="C4" s="582">
        <f>SUM('23r'!I6)</f>
        <v>7126.8941500000001</v>
      </c>
      <c r="D4" s="583">
        <f>SUM('24r'!I6)</f>
        <v>6984.9395700000023</v>
      </c>
      <c r="E4" s="582">
        <f>SUM('23r'!H6)</f>
        <v>10239.790445402299</v>
      </c>
      <c r="F4" s="583">
        <f>SUM('24r'!H6)</f>
        <v>9581.5357613168762</v>
      </c>
      <c r="G4" s="589">
        <f>SUM(F4-E4)</f>
        <v>-658.25468408542292</v>
      </c>
      <c r="H4" s="99"/>
      <c r="I4" s="581" t="s">
        <v>2</v>
      </c>
      <c r="J4" s="582">
        <f>SUM('22r'!I6)</f>
        <v>5662.5126100000016</v>
      </c>
      <c r="K4" s="583">
        <f>SUM('23r'!I6)</f>
        <v>7126.8941500000001</v>
      </c>
      <c r="L4" s="582">
        <f>SUM('22r'!H6)</f>
        <v>7250.3362483994897</v>
      </c>
      <c r="M4" s="583">
        <f>SUM('23r'!H6)</f>
        <v>10239.790445402299</v>
      </c>
      <c r="N4" s="584">
        <f>SUM(M4-L4)</f>
        <v>2989.4541970028095</v>
      </c>
    </row>
    <row r="5" spans="2:14" x14ac:dyDescent="0.2">
      <c r="B5" s="577" t="s">
        <v>1</v>
      </c>
      <c r="C5" s="567">
        <f>SUM('23r'!I7)</f>
        <v>75098.213940000001</v>
      </c>
      <c r="D5" s="568">
        <f>SUM('24r'!I7)</f>
        <v>63422.597880000001</v>
      </c>
      <c r="E5" s="567">
        <f>SUM('23r'!H7)</f>
        <v>13448.820547994268</v>
      </c>
      <c r="F5" s="568">
        <f>SUM('24r'!H7)</f>
        <v>16068.55786166709</v>
      </c>
      <c r="G5" s="504">
        <f>(F5-E5)</f>
        <v>2619.737313672822</v>
      </c>
      <c r="H5" s="99"/>
      <c r="I5" s="577" t="s">
        <v>1</v>
      </c>
      <c r="J5" s="567">
        <f>SUM('22r'!I7)</f>
        <v>82696.333379999996</v>
      </c>
      <c r="K5" s="568">
        <f>SUM('23r'!I7)</f>
        <v>75098.213940000001</v>
      </c>
      <c r="L5" s="567">
        <f>SUM('22r'!H7)</f>
        <v>13014.846298394712</v>
      </c>
      <c r="M5" s="568">
        <f>SUM('23r'!H7)</f>
        <v>13448.820547994268</v>
      </c>
      <c r="N5" s="504">
        <f>(M5-L5)</f>
        <v>433.97424959955606</v>
      </c>
    </row>
    <row r="6" spans="2:14" x14ac:dyDescent="0.2">
      <c r="B6" s="577" t="s">
        <v>3</v>
      </c>
      <c r="C6" s="567">
        <f>SUM('23r'!I8)</f>
        <v>30270.602410000003</v>
      </c>
      <c r="D6" s="568">
        <f>SUM('24r'!I8)</f>
        <v>29841.221140000001</v>
      </c>
      <c r="E6" s="567">
        <f>SUM('23r'!H8)</f>
        <v>9342.7785216049397</v>
      </c>
      <c r="F6" s="568">
        <f>SUM('24r'!H8)</f>
        <v>10383.166715379262</v>
      </c>
      <c r="G6" s="504">
        <f t="shared" ref="G6:G12" si="0">SUM(F6-E6)</f>
        <v>1040.3881937743226</v>
      </c>
      <c r="H6" s="99"/>
      <c r="I6" s="577" t="s">
        <v>3</v>
      </c>
      <c r="J6" s="567">
        <f>SUM('22r'!I8)</f>
        <v>29417.699989999997</v>
      </c>
      <c r="K6" s="568">
        <f>SUM('23r'!I8)</f>
        <v>30270.602410000003</v>
      </c>
      <c r="L6" s="567">
        <f>SUM('22r'!H8)</f>
        <v>8721.5238630299427</v>
      </c>
      <c r="M6" s="568">
        <f>SUM('23r'!H8)</f>
        <v>9342.7785216049397</v>
      </c>
      <c r="N6" s="504">
        <f t="shared" ref="N6:N11" si="1">SUM(M6-L6)</f>
        <v>621.25465857499694</v>
      </c>
    </row>
    <row r="7" spans="2:14" x14ac:dyDescent="0.2">
      <c r="B7" s="577" t="s">
        <v>4</v>
      </c>
      <c r="C7" s="567">
        <f>SUM('23r'!I9)</f>
        <v>30876.941329999998</v>
      </c>
      <c r="D7" s="568">
        <f>SUM('24r'!I9)</f>
        <v>29865.348730000005</v>
      </c>
      <c r="E7" s="567">
        <f>SUM('23r'!H9)</f>
        <v>18046.137539450614</v>
      </c>
      <c r="F7" s="568">
        <f>SUM('24r'!H9)</f>
        <v>19243.137068298973</v>
      </c>
      <c r="G7" s="504">
        <f t="shared" si="0"/>
        <v>1196.9995288483588</v>
      </c>
      <c r="H7" s="99"/>
      <c r="I7" s="577" t="s">
        <v>4</v>
      </c>
      <c r="J7" s="567">
        <f>SUM('22r'!I9)</f>
        <v>30695.17913</v>
      </c>
      <c r="K7" s="568">
        <f>SUM('23r'!I9)</f>
        <v>30876.941329999998</v>
      </c>
      <c r="L7" s="567">
        <f>SUM('22r'!H9)</f>
        <v>17225.128580246914</v>
      </c>
      <c r="M7" s="568">
        <f>SUM('23r'!H9)</f>
        <v>18046.137539450614</v>
      </c>
      <c r="N7" s="504">
        <f t="shared" si="1"/>
        <v>821.00895920370021</v>
      </c>
    </row>
    <row r="8" spans="2:14" x14ac:dyDescent="0.2">
      <c r="B8" s="577" t="s">
        <v>56</v>
      </c>
      <c r="C8" s="567">
        <f>SUM('23r'!I10)</f>
        <v>73704.392209999991</v>
      </c>
      <c r="D8" s="568">
        <f>SUM('24r'!I10)</f>
        <v>67173.105859999996</v>
      </c>
      <c r="E8" s="567">
        <f>SUM('23r'!H10)</f>
        <v>33871.503772977936</v>
      </c>
      <c r="F8" s="568">
        <f>SUM('24r'!H10)</f>
        <v>30190.15993707865</v>
      </c>
      <c r="G8" s="574">
        <f t="shared" si="0"/>
        <v>-3681.3438358992862</v>
      </c>
      <c r="H8" s="99"/>
      <c r="I8" s="577" t="s">
        <v>56</v>
      </c>
      <c r="J8" s="567">
        <f>SUM('22r'!I10)</f>
        <v>64698.140999999996</v>
      </c>
      <c r="K8" s="568">
        <f>SUM('23r'!I10)</f>
        <v>73704.392209999991</v>
      </c>
      <c r="L8" s="567">
        <f>SUM('22r'!H10)</f>
        <v>29182.742895805139</v>
      </c>
      <c r="M8" s="568">
        <f>SUM('23r'!H10)</f>
        <v>33871.503772977936</v>
      </c>
      <c r="N8" s="504">
        <f t="shared" si="1"/>
        <v>4688.7608771727973</v>
      </c>
    </row>
    <row r="9" spans="2:14" ht="15.75" customHeight="1" x14ac:dyDescent="0.2">
      <c r="B9" s="577" t="s">
        <v>57</v>
      </c>
      <c r="C9" s="567">
        <f>SUM('23r'!I11)</f>
        <v>59305.516130000011</v>
      </c>
      <c r="D9" s="568">
        <f>SUM('24r'!I11)</f>
        <v>54417.095179999989</v>
      </c>
      <c r="E9" s="567">
        <f>SUM('23r'!H11)</f>
        <v>38187.711609787511</v>
      </c>
      <c r="F9" s="568">
        <f>SUM('24r'!H11)</f>
        <v>29430.554451054621</v>
      </c>
      <c r="G9" s="574">
        <f t="shared" si="0"/>
        <v>-8757.1571587328908</v>
      </c>
      <c r="H9" s="99"/>
      <c r="I9" s="577" t="s">
        <v>57</v>
      </c>
      <c r="J9" s="567">
        <f>SUM('22r'!I11)</f>
        <v>63169.621400000004</v>
      </c>
      <c r="K9" s="568">
        <f>SUM('23r'!I11)</f>
        <v>59305.516130000011</v>
      </c>
      <c r="L9" s="567">
        <f>SUM('22r'!H11)</f>
        <v>53083.715462184882</v>
      </c>
      <c r="M9" s="568">
        <f>SUM('23r'!H11)</f>
        <v>38187.711609787511</v>
      </c>
      <c r="N9" s="574">
        <f t="shared" si="1"/>
        <v>-14896.003852397371</v>
      </c>
    </row>
    <row r="10" spans="2:14" x14ac:dyDescent="0.2">
      <c r="B10" s="578" t="str">
        <f>'15r'!$C$12</f>
        <v>Bon na zasiedlenie</v>
      </c>
      <c r="C10" s="567">
        <f>SUM('23r'!I12)</f>
        <v>12076.42793</v>
      </c>
      <c r="D10" s="568">
        <f>SUM('24r'!I12)</f>
        <v>10365.363069999999</v>
      </c>
      <c r="E10" s="567">
        <f>SUM('23r'!H12)</f>
        <v>12619.046948798328</v>
      </c>
      <c r="F10" s="568">
        <f>SUM('24r'!H12)</f>
        <v>9824.9886919431283</v>
      </c>
      <c r="G10" s="574">
        <f t="shared" si="0"/>
        <v>-2794.0582568551999</v>
      </c>
      <c r="H10" s="99"/>
      <c r="I10" s="578" t="str">
        <f>'15r'!$C$12</f>
        <v>Bon na zasiedlenie</v>
      </c>
      <c r="J10" s="567">
        <f>SUM('22r'!I12)</f>
        <v>10240.80077</v>
      </c>
      <c r="K10" s="568">
        <f>SUM('23r'!I12)</f>
        <v>12076.42793</v>
      </c>
      <c r="L10" s="567">
        <f>SUM('22r'!H12)</f>
        <v>11216.649255202628</v>
      </c>
      <c r="M10" s="568">
        <f>SUM('23r'!H12)</f>
        <v>12619.046948798328</v>
      </c>
      <c r="N10" s="504">
        <f t="shared" si="1"/>
        <v>1402.3976935956998</v>
      </c>
    </row>
    <row r="11" spans="2:14" ht="15" x14ac:dyDescent="0.2">
      <c r="B11" s="579" t="s">
        <v>288</v>
      </c>
      <c r="C11" s="569">
        <f>SUM('23r'!I13)</f>
        <v>276382.56017000001</v>
      </c>
      <c r="D11" s="570">
        <f>SUM('24r'!I13)</f>
        <v>251704.30836000002</v>
      </c>
      <c r="E11" s="569">
        <f>SUM('23r'!H13)</f>
        <v>18474.770064839573</v>
      </c>
      <c r="F11" s="570">
        <f>SUM('24r'!H13)</f>
        <v>19103.241375227688</v>
      </c>
      <c r="G11" s="575">
        <f t="shared" si="0"/>
        <v>628.47131038811494</v>
      </c>
      <c r="H11" s="437"/>
      <c r="I11" s="579" t="s">
        <v>288</v>
      </c>
      <c r="J11" s="569">
        <f>SUM('22r'!I13)</f>
        <v>276339.48751000001</v>
      </c>
      <c r="K11" s="570">
        <f>SUM('23r'!I13)</f>
        <v>276382.56017000001</v>
      </c>
      <c r="L11" s="569">
        <f>SUM('22r'!H13)</f>
        <v>17604.605179970695</v>
      </c>
      <c r="M11" s="570">
        <f>SUM('23r'!H13)</f>
        <v>18474.770064839573</v>
      </c>
      <c r="N11" s="575">
        <f t="shared" si="1"/>
        <v>870.16488486887829</v>
      </c>
    </row>
    <row r="12" spans="2:14" ht="15" thickBot="1" x14ac:dyDescent="0.25">
      <c r="B12" s="580" t="s">
        <v>278</v>
      </c>
      <c r="C12" s="571">
        <f>SUM('23r'!I14)</f>
        <v>288458.98810000002</v>
      </c>
      <c r="D12" s="572">
        <f>SUM('24r'!I14)</f>
        <v>262069.67143000002</v>
      </c>
      <c r="E12" s="571">
        <f>SUM('23r'!H14)</f>
        <v>18122.698253439721</v>
      </c>
      <c r="F12" s="572">
        <f>SUM('24r'!H14)</f>
        <v>18415.408012788983</v>
      </c>
      <c r="G12" s="509">
        <f t="shared" si="0"/>
        <v>292.70975934926173</v>
      </c>
      <c r="H12" s="99"/>
      <c r="I12" s="580" t="s">
        <v>278</v>
      </c>
      <c r="J12" s="571">
        <f>SUM('22r'!I14)</f>
        <v>286580.28827999998</v>
      </c>
      <c r="K12" s="572">
        <f>SUM('23r'!I14)</f>
        <v>288458.98810000002</v>
      </c>
      <c r="L12" s="571">
        <f>SUM('22r'!H14)</f>
        <v>17253.479125827813</v>
      </c>
      <c r="M12" s="572">
        <f>SUM('23r'!H14)</f>
        <v>18122.698253439721</v>
      </c>
      <c r="N12" s="509">
        <f>SUM(M12-L12)</f>
        <v>869.21912761190833</v>
      </c>
    </row>
    <row r="13" spans="2:14" x14ac:dyDescent="0.2">
      <c r="B13" s="44" t="s">
        <v>474</v>
      </c>
      <c r="I13" s="44" t="s">
        <v>474</v>
      </c>
    </row>
    <row r="15" spans="2:14" ht="15" thickBot="1" x14ac:dyDescent="0.25">
      <c r="B15" s="44" t="s">
        <v>466</v>
      </c>
      <c r="E15" s="474" t="s">
        <v>248</v>
      </c>
      <c r="F15" s="474" t="s">
        <v>248</v>
      </c>
      <c r="H15" s="435"/>
      <c r="I15" s="44" t="s">
        <v>466</v>
      </c>
      <c r="L15" s="474" t="s">
        <v>248</v>
      </c>
      <c r="M15" s="474" t="s">
        <v>248</v>
      </c>
    </row>
    <row r="16" spans="2:14" ht="28.5" customHeight="1" x14ac:dyDescent="0.2">
      <c r="B16" s="576" t="s">
        <v>223</v>
      </c>
      <c r="C16" s="565" t="s">
        <v>289</v>
      </c>
      <c r="D16" s="566" t="s">
        <v>289</v>
      </c>
      <c r="E16" s="565" t="s">
        <v>473</v>
      </c>
      <c r="F16" s="566" t="s">
        <v>473</v>
      </c>
      <c r="G16" s="573" t="s">
        <v>224</v>
      </c>
      <c r="H16" s="256"/>
      <c r="I16" s="576" t="s">
        <v>223</v>
      </c>
      <c r="J16" s="565" t="s">
        <v>289</v>
      </c>
      <c r="K16" s="566" t="s">
        <v>289</v>
      </c>
      <c r="L16" s="565" t="s">
        <v>473</v>
      </c>
      <c r="M16" s="566" t="s">
        <v>473</v>
      </c>
      <c r="N16" s="573" t="s">
        <v>224</v>
      </c>
    </row>
    <row r="17" spans="2:14" ht="15" thickBot="1" x14ac:dyDescent="0.25">
      <c r="B17" s="585"/>
      <c r="C17" s="586">
        <v>2024</v>
      </c>
      <c r="D17" s="587">
        <v>2025</v>
      </c>
      <c r="E17" s="586">
        <v>2024</v>
      </c>
      <c r="F17" s="587">
        <v>2025</v>
      </c>
      <c r="G17" s="588" t="s">
        <v>249</v>
      </c>
      <c r="H17" s="99"/>
      <c r="I17" s="585"/>
      <c r="J17" s="586"/>
      <c r="K17" s="587"/>
      <c r="L17" s="586"/>
      <c r="M17" s="587"/>
      <c r="N17" s="588" t="s">
        <v>249</v>
      </c>
    </row>
    <row r="18" spans="2:14" x14ac:dyDescent="0.2">
      <c r="B18" s="581" t="s">
        <v>2</v>
      </c>
      <c r="C18" s="582">
        <f>SUM('24r'!I6)</f>
        <v>6984.9395700000023</v>
      </c>
      <c r="D18" s="583">
        <f>SUM('25r'!I6)</f>
        <v>6665.2149499999987</v>
      </c>
      <c r="E18" s="582">
        <f>SUM('24r'!H6)</f>
        <v>9581.5357613168762</v>
      </c>
      <c r="F18" s="583">
        <f>SUM('25r'!H6)</f>
        <v>10098.810530303028</v>
      </c>
      <c r="G18" s="584">
        <f>SUM(F18-E18)</f>
        <v>517.27476898615168</v>
      </c>
      <c r="H18" s="99"/>
      <c r="I18" s="581" t="s">
        <v>2</v>
      </c>
      <c r="J18" s="582"/>
      <c r="K18" s="583"/>
      <c r="L18" s="582"/>
      <c r="M18" s="583"/>
      <c r="N18" s="589"/>
    </row>
    <row r="19" spans="2:14" x14ac:dyDescent="0.2">
      <c r="B19" s="577" t="s">
        <v>1</v>
      </c>
      <c r="C19" s="567">
        <f>SUM('24r'!I7)</f>
        <v>63422.597880000001</v>
      </c>
      <c r="D19" s="568">
        <f>SUM('25r'!I7)</f>
        <v>67134.324789999999</v>
      </c>
      <c r="E19" s="567">
        <f>SUM('24r'!H7)</f>
        <v>16068.55786166709</v>
      </c>
      <c r="F19" s="568">
        <f>SUM('25r'!H7)</f>
        <v>18392.965695890409</v>
      </c>
      <c r="G19" s="504">
        <f>(F19-E19)</f>
        <v>2324.4078342233188</v>
      </c>
      <c r="H19" s="99"/>
      <c r="I19" s="577" t="s">
        <v>1</v>
      </c>
      <c r="J19" s="567"/>
      <c r="K19" s="568"/>
      <c r="L19" s="567"/>
      <c r="M19" s="568"/>
      <c r="N19" s="504"/>
    </row>
    <row r="20" spans="2:14" x14ac:dyDescent="0.2">
      <c r="B20" s="577" t="s">
        <v>3</v>
      </c>
      <c r="C20" s="567">
        <f>SUM('24r'!I8)</f>
        <v>29841.221140000001</v>
      </c>
      <c r="D20" s="568">
        <f>SUM('25r'!I8)</f>
        <v>33670.706749999998</v>
      </c>
      <c r="E20" s="567">
        <f>SUM('24r'!H8)</f>
        <v>10383.166715379262</v>
      </c>
      <c r="F20" s="568">
        <f>SUM('25r'!H8)</f>
        <v>12347.160524385772</v>
      </c>
      <c r="G20" s="504">
        <f t="shared" ref="G20:G26" si="2">SUM(F20-E20)</f>
        <v>1963.9938090065098</v>
      </c>
      <c r="H20" s="99"/>
      <c r="I20" s="577" t="s">
        <v>3</v>
      </c>
      <c r="J20" s="567"/>
      <c r="K20" s="568"/>
      <c r="L20" s="567"/>
      <c r="M20" s="568"/>
      <c r="N20" s="504"/>
    </row>
    <row r="21" spans="2:14" x14ac:dyDescent="0.2">
      <c r="B21" s="577" t="s">
        <v>4</v>
      </c>
      <c r="C21" s="567">
        <f>SUM('24r'!I9)</f>
        <v>29865.348730000005</v>
      </c>
      <c r="D21" s="568">
        <f>SUM('25r'!I9)</f>
        <v>29865.365469999997</v>
      </c>
      <c r="E21" s="567">
        <f>SUM('24r'!H9)</f>
        <v>19243.137068298973</v>
      </c>
      <c r="F21" s="568">
        <f>SUM('25r'!H9)</f>
        <v>22106.118038490007</v>
      </c>
      <c r="G21" s="504">
        <f t="shared" si="2"/>
        <v>2862.9809701910344</v>
      </c>
      <c r="H21" s="99"/>
      <c r="I21" s="577" t="s">
        <v>4</v>
      </c>
      <c r="J21" s="567"/>
      <c r="K21" s="568"/>
      <c r="L21" s="567"/>
      <c r="M21" s="568"/>
      <c r="N21" s="504"/>
    </row>
    <row r="22" spans="2:14" x14ac:dyDescent="0.2">
      <c r="B22" s="577" t="s">
        <v>56</v>
      </c>
      <c r="C22" s="567">
        <f>SUM('24r'!I10)</f>
        <v>67173.105859999996</v>
      </c>
      <c r="D22" s="568">
        <f>SUM('25r'!I10)</f>
        <v>60856.502309999989</v>
      </c>
      <c r="E22" s="567">
        <f>SUM('24r'!H10)</f>
        <v>30190.15993707865</v>
      </c>
      <c r="F22" s="568">
        <f>SUM('25r'!H10)</f>
        <v>34538.310051078312</v>
      </c>
      <c r="G22" s="504">
        <f t="shared" si="2"/>
        <v>4348.1501139996617</v>
      </c>
      <c r="H22" s="99"/>
      <c r="I22" s="577" t="s">
        <v>56</v>
      </c>
      <c r="J22" s="567"/>
      <c r="K22" s="568"/>
      <c r="L22" s="567"/>
      <c r="M22" s="568"/>
      <c r="N22" s="574"/>
    </row>
    <row r="23" spans="2:14" ht="15" customHeight="1" x14ac:dyDescent="0.2">
      <c r="B23" s="577" t="s">
        <v>57</v>
      </c>
      <c r="C23" s="567">
        <f>SUM('24r'!I11)</f>
        <v>54417.095179999989</v>
      </c>
      <c r="D23" s="568">
        <f>SUM('25r'!I11)</f>
        <v>44378.20839</v>
      </c>
      <c r="E23" s="567">
        <f>SUM('24r'!H11)</f>
        <v>29430.554451054621</v>
      </c>
      <c r="F23" s="568">
        <f>SUM('25r'!H11)</f>
        <v>30333.703615857827</v>
      </c>
      <c r="G23" s="504">
        <f t="shared" si="2"/>
        <v>903.14916480320608</v>
      </c>
      <c r="H23" s="99"/>
      <c r="I23" s="577" t="s">
        <v>57</v>
      </c>
      <c r="J23" s="567"/>
      <c r="K23" s="568"/>
      <c r="L23" s="567"/>
      <c r="M23" s="568"/>
      <c r="N23" s="574"/>
    </row>
    <row r="24" spans="2:14" ht="15" x14ac:dyDescent="0.2">
      <c r="B24" s="578" t="str">
        <f>'15r'!$C$12</f>
        <v>Bon na zasiedlenie</v>
      </c>
      <c r="C24" s="567">
        <f>SUM('24r'!I12)</f>
        <v>10365.363069999999</v>
      </c>
      <c r="D24" s="568">
        <f>SUM('25r'!I12)</f>
        <v>9519.6675599999999</v>
      </c>
      <c r="E24" s="567">
        <f>SUM('24r'!H12)</f>
        <v>9824.9886919431283</v>
      </c>
      <c r="F24" s="568">
        <f>SUM('25r'!H12)</f>
        <v>12881.823491204332</v>
      </c>
      <c r="G24" s="504">
        <f t="shared" si="2"/>
        <v>3056.8347992612034</v>
      </c>
      <c r="H24" s="437"/>
      <c r="I24" s="578" t="str">
        <f>'15r'!$C$12</f>
        <v>Bon na zasiedlenie</v>
      </c>
      <c r="J24" s="567"/>
      <c r="K24" s="568"/>
      <c r="L24" s="567"/>
      <c r="M24" s="568"/>
      <c r="N24" s="574"/>
    </row>
    <row r="25" spans="2:14" ht="15" x14ac:dyDescent="0.2">
      <c r="B25" s="579" t="s">
        <v>288</v>
      </c>
      <c r="C25" s="569">
        <f>SUM('24r'!I13)</f>
        <v>251704.30836000002</v>
      </c>
      <c r="D25" s="570">
        <f>SUM('25r'!I13)</f>
        <v>242570.32265999995</v>
      </c>
      <c r="E25" s="569">
        <f>SUM('24r'!H13)</f>
        <v>19103.241375227688</v>
      </c>
      <c r="F25" s="570">
        <f>SUM('25r'!H13)</f>
        <v>20887.82594161715</v>
      </c>
      <c r="G25" s="575">
        <f t="shared" si="2"/>
        <v>1784.5845663894615</v>
      </c>
      <c r="H25" s="437"/>
      <c r="I25" s="579" t="s">
        <v>288</v>
      </c>
      <c r="J25" s="569"/>
      <c r="K25" s="570"/>
      <c r="L25" s="569"/>
      <c r="M25" s="570"/>
      <c r="N25" s="575"/>
    </row>
    <row r="26" spans="2:14" ht="15" thickBot="1" x14ac:dyDescent="0.25">
      <c r="B26" s="580" t="s">
        <v>278</v>
      </c>
      <c r="C26" s="571">
        <f>SUM('24r'!I14)</f>
        <v>262069.67143000002</v>
      </c>
      <c r="D26" s="572">
        <f>SUM('25r'!I14)</f>
        <v>252089.99021999995</v>
      </c>
      <c r="E26" s="571">
        <f>SUM('24r'!H14)</f>
        <v>18415.408012788983</v>
      </c>
      <c r="F26" s="572">
        <f>SUM('25r'!H14)</f>
        <v>20408.839881800512</v>
      </c>
      <c r="G26" s="509">
        <f t="shared" si="2"/>
        <v>1993.4318690115288</v>
      </c>
      <c r="I26" s="580" t="s">
        <v>278</v>
      </c>
      <c r="J26" s="571"/>
      <c r="K26" s="572"/>
      <c r="L26" s="571"/>
      <c r="M26" s="572"/>
      <c r="N26" s="509"/>
    </row>
    <row r="27" spans="2:14" x14ac:dyDescent="0.2">
      <c r="B27" s="44" t="s">
        <v>474</v>
      </c>
      <c r="I27" s="44" t="s">
        <v>474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72B07-446C-4B12-9774-21E3D5D4896F}">
  <sheetPr>
    <tabColor theme="0"/>
  </sheetPr>
  <dimension ref="A1:D25"/>
  <sheetViews>
    <sheetView zoomScale="80" zoomScaleNormal="80" workbookViewId="0">
      <selection activeCell="B1" sqref="B1"/>
    </sheetView>
  </sheetViews>
  <sheetFormatPr defaultRowHeight="14.25" x14ac:dyDescent="0.2"/>
  <cols>
    <col min="1" max="1" width="2.140625" style="45" customWidth="1"/>
    <col min="2" max="2" width="71.42578125" style="44" customWidth="1"/>
    <col min="3" max="3" width="11.7109375" style="44" customWidth="1"/>
    <col min="4" max="4" width="5.5703125" style="44" customWidth="1"/>
    <col min="5" max="5" width="2.5703125" style="44" customWidth="1"/>
    <col min="6" max="6" width="44.5703125" style="44" customWidth="1"/>
    <col min="7" max="7" width="12.7109375" style="44" customWidth="1"/>
    <col min="8" max="16384" width="9.140625" style="44"/>
  </cols>
  <sheetData>
    <row r="1" spans="2:4" ht="21" customHeight="1" thickBot="1" x14ac:dyDescent="0.25">
      <c r="B1" s="169" t="s">
        <v>485</v>
      </c>
    </row>
    <row r="2" spans="2:4" ht="15" customHeight="1" x14ac:dyDescent="0.2">
      <c r="B2" s="603" t="s">
        <v>54</v>
      </c>
      <c r="C2" s="604" t="s">
        <v>65</v>
      </c>
      <c r="D2" s="605" t="s">
        <v>67</v>
      </c>
    </row>
    <row r="3" spans="2:4" ht="10.5" customHeight="1" x14ac:dyDescent="0.2">
      <c r="B3" s="606" t="s">
        <v>55</v>
      </c>
      <c r="C3" s="518" t="s">
        <v>96</v>
      </c>
      <c r="D3" s="607"/>
    </row>
    <row r="4" spans="2:4" ht="15" thickBot="1" x14ac:dyDescent="0.25">
      <c r="B4" s="608"/>
      <c r="C4" s="609" t="s">
        <v>226</v>
      </c>
      <c r="D4" s="610"/>
    </row>
    <row r="5" spans="2:4" ht="15.75" customHeight="1" x14ac:dyDescent="0.2">
      <c r="B5" s="611" t="s">
        <v>1</v>
      </c>
      <c r="C5" s="612">
        <f>SUM(P.25!U50)</f>
        <v>82.448610797379715</v>
      </c>
      <c r="D5" s="613">
        <f>RANK(C5,C5:C13)</f>
        <v>8</v>
      </c>
    </row>
    <row r="6" spans="2:4" ht="16.5" customHeight="1" x14ac:dyDescent="0.2">
      <c r="B6" s="614" t="s">
        <v>2</v>
      </c>
      <c r="C6" s="412">
        <f>SUM(P.25!V50)</f>
        <v>51.242236024844722</v>
      </c>
      <c r="D6" s="615">
        <f>RANK(C6,C5:C13)</f>
        <v>9</v>
      </c>
    </row>
    <row r="7" spans="2:4" ht="14.25" customHeight="1" x14ac:dyDescent="0.2">
      <c r="B7" s="614" t="s">
        <v>3</v>
      </c>
      <c r="C7" s="412">
        <f>SUM(P.25!W50)</f>
        <v>93.262653898768804</v>
      </c>
      <c r="D7" s="615">
        <f>RANK(C7,C5:C13)</f>
        <v>3</v>
      </c>
    </row>
    <row r="8" spans="2:4" ht="18" customHeight="1" x14ac:dyDescent="0.2">
      <c r="B8" s="614" t="s">
        <v>4</v>
      </c>
      <c r="C8" s="412">
        <f>SUM(P.25!X50)</f>
        <v>96.568977841315231</v>
      </c>
      <c r="D8" s="615">
        <f>RANK(C8,C5:C13)</f>
        <v>2</v>
      </c>
    </row>
    <row r="9" spans="2:4" ht="16.5" customHeight="1" x14ac:dyDescent="0.2">
      <c r="B9" s="614" t="s">
        <v>56</v>
      </c>
      <c r="C9" s="412">
        <f>SUM(P.25!Y50)</f>
        <v>97.348066298342545</v>
      </c>
      <c r="D9" s="615">
        <f>RANK(C9,C5:C13)</f>
        <v>1</v>
      </c>
    </row>
    <row r="10" spans="2:4" ht="18" customHeight="1" x14ac:dyDescent="0.2">
      <c r="B10" s="614" t="s">
        <v>57</v>
      </c>
      <c r="C10" s="412">
        <f>SUM(P.25!Z50)</f>
        <v>89.86486486486487</v>
      </c>
      <c r="D10" s="615">
        <f>RANK(C10,C5:C13)</f>
        <v>4</v>
      </c>
    </row>
    <row r="11" spans="2:4" ht="18" customHeight="1" x14ac:dyDescent="0.2">
      <c r="B11" s="614" t="s">
        <v>11</v>
      </c>
      <c r="C11" s="412">
        <f>SUM(P.25!AA50)</f>
        <v>82.754759238521842</v>
      </c>
      <c r="D11" s="615">
        <f>RANK(C11,C5:C13)</f>
        <v>7</v>
      </c>
    </row>
    <row r="12" spans="2:4" ht="15.75" customHeight="1" x14ac:dyDescent="0.2">
      <c r="B12" s="616" t="s">
        <v>278</v>
      </c>
      <c r="C12" s="517">
        <f>SUM(P.25!U24+P.25!V24+P.25!W24+P.25!X24+P.25!Y24+P.25!Z24+P.25!AA24)/(P.25!L24+P.25!M24+P.25!N24+P.25!O24+P.25!P24+P.25!Q24+P.25!R24)*100</f>
        <v>85.962836662259036</v>
      </c>
      <c r="D12" s="617">
        <f>RANK(C12,C5:C13)</f>
        <v>6</v>
      </c>
    </row>
    <row r="13" spans="2:4" ht="18.75" customHeight="1" thickBot="1" x14ac:dyDescent="0.25">
      <c r="B13" s="618" t="s">
        <v>280</v>
      </c>
      <c r="C13" s="619">
        <f>SUM(P.25!U24+P.25!V24+P.25!W24+P.25!X24+P.25!Y24+P.25!Z24)/(P.25!L24+P.25!M24+P.25!N24+P.25!O24+P.25!P24+P.25!Q24)*100</f>
        <v>86.175422974176314</v>
      </c>
      <c r="D13" s="620">
        <f>RANK(C13,C5:C13)</f>
        <v>5</v>
      </c>
    </row>
    <row r="14" spans="2:4" ht="15" thickBot="1" x14ac:dyDescent="0.25"/>
    <row r="15" spans="2:4" x14ac:dyDescent="0.2">
      <c r="B15" s="603" t="s">
        <v>54</v>
      </c>
      <c r="C15" s="605" t="s">
        <v>65</v>
      </c>
    </row>
    <row r="16" spans="2:4" x14ac:dyDescent="0.2">
      <c r="B16" s="606" t="s">
        <v>55</v>
      </c>
      <c r="C16" s="607" t="s">
        <v>96</v>
      </c>
    </row>
    <row r="17" spans="2:3" ht="14.25" customHeight="1" thickBot="1" x14ac:dyDescent="0.25">
      <c r="B17" s="621"/>
      <c r="C17" s="610" t="s">
        <v>226</v>
      </c>
    </row>
    <row r="18" spans="2:3" ht="18" customHeight="1" x14ac:dyDescent="0.2">
      <c r="B18" s="622" t="str">
        <f>INDEX(B5:C13,MATCH(1,D5:D13,0),1)</f>
        <v>Dofinansowanie działalności gospodarczej</v>
      </c>
      <c r="C18" s="623">
        <f>INDEX(B5:C13,MATCH(1,D5:D13,0),2)</f>
        <v>97.348066298342545</v>
      </c>
    </row>
    <row r="19" spans="2:3" ht="17.25" customHeight="1" x14ac:dyDescent="0.2">
      <c r="B19" s="624" t="str">
        <f>INDEX(B5:C13,MATCH(2,D5:D13,0),1)</f>
        <v>Roboty publiczne</v>
      </c>
      <c r="C19" s="625">
        <f>INDEX(B5:C13,MATCH(2,D5:D13,0),2)</f>
        <v>96.568977841315231</v>
      </c>
    </row>
    <row r="20" spans="2:3" ht="15.75" customHeight="1" x14ac:dyDescent="0.2">
      <c r="B20" s="624" t="str">
        <f>INDEX(B5:C13,MATCH(3,D5:D13,0),1)</f>
        <v>Prace interwencyjne</v>
      </c>
      <c r="C20" s="625">
        <f>INDEX(B5:C13,MATCH(3,D5:D13,0),2)</f>
        <v>93.262653898768804</v>
      </c>
    </row>
    <row r="21" spans="2:3" ht="15.75" customHeight="1" x14ac:dyDescent="0.2">
      <c r="B21" s="624" t="str">
        <f>INDEX(B5:C13,MATCH(4,D5:D13,0),1)</f>
        <v>Refundacja kosztów wyposażenia lub doposażenia miejsca pracy</v>
      </c>
      <c r="C21" s="625">
        <f>INDEX(B5:C13,MATCH(4,D5:D13,0),2)</f>
        <v>89.86486486486487</v>
      </c>
    </row>
    <row r="22" spans="2:3" ht="15" customHeight="1" x14ac:dyDescent="0.2">
      <c r="B22" s="624" t="str">
        <f>INDEX(B5:C13,MATCH(5,D5:D13,0),1)</f>
        <v>Razem 6 podstawowych form</v>
      </c>
      <c r="C22" s="625">
        <f>INDEX(B5:C13,MATCH(5,D5:D13,0),2)</f>
        <v>86.175422974176314</v>
      </c>
    </row>
    <row r="23" spans="2:3" ht="15" customHeight="1" x14ac:dyDescent="0.2">
      <c r="B23" s="626" t="str">
        <f>INDEX(B5:C13,MATCH(6,D5:D13,0),1)</f>
        <v>Razem 7 podstawowych form</v>
      </c>
      <c r="C23" s="627">
        <f>INDEX(B5:C13,MATCH(6,D5:D13,0),2)</f>
        <v>85.962836662259036</v>
      </c>
    </row>
    <row r="24" spans="2:3" ht="15" customHeight="1" x14ac:dyDescent="0.2">
      <c r="B24" s="624" t="str">
        <f>INDEX(B5:C13,MATCH(7,D5:D13,0),1)</f>
        <v>Bon na zasiedlenie</v>
      </c>
      <c r="C24" s="625">
        <f>INDEX(B5:C13,MATCH(7,D5:D13,0),2)</f>
        <v>82.754759238521842</v>
      </c>
    </row>
    <row r="25" spans="2:3" ht="20.25" customHeight="1" thickBot="1" x14ac:dyDescent="0.25">
      <c r="B25" s="628" t="str">
        <f>INDEX(B5:C13,MATCH(8,D5:D13,0),1)</f>
        <v>Staże</v>
      </c>
      <c r="C25" s="629">
        <f>INDEX(B5:C13,MATCH(8,D5:D13,0),2)</f>
        <v>82.448610797379715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59999389629810485"/>
  </sheetPr>
  <dimension ref="B1:I22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44" customWidth="1"/>
    <col min="2" max="2" width="6.7109375" style="44" customWidth="1"/>
    <col min="3" max="3" width="7.85546875" style="44" customWidth="1"/>
    <col min="4" max="4" width="11.7109375" style="44" customWidth="1"/>
    <col min="5" max="5" width="17.42578125" style="44" customWidth="1"/>
    <col min="6" max="6" width="17.140625" style="44" customWidth="1"/>
    <col min="7" max="7" width="16.42578125" style="44" customWidth="1"/>
    <col min="8" max="8" width="17.140625" style="44" customWidth="1"/>
    <col min="9" max="9" width="16.42578125" style="44" customWidth="1"/>
    <col min="10" max="16384" width="9.140625" style="44"/>
  </cols>
  <sheetData>
    <row r="1" spans="2:9" ht="15.75" thickBot="1" x14ac:dyDescent="0.3">
      <c r="B1" s="700" t="s">
        <v>184</v>
      </c>
      <c r="C1" s="701"/>
      <c r="D1" s="701"/>
      <c r="E1" s="701"/>
      <c r="F1" s="701"/>
      <c r="G1" s="701"/>
      <c r="I1" s="691"/>
    </row>
    <row r="2" spans="2:9" ht="91.5" customHeight="1" thickBot="1" x14ac:dyDescent="0.25">
      <c r="B2" s="705" t="s">
        <v>53</v>
      </c>
      <c r="C2" s="706" t="s">
        <v>59</v>
      </c>
      <c r="D2" s="723" t="s">
        <v>181</v>
      </c>
      <c r="E2" s="718" t="s">
        <v>182</v>
      </c>
      <c r="F2" s="705" t="s">
        <v>183</v>
      </c>
      <c r="G2" s="707" t="s">
        <v>157</v>
      </c>
      <c r="H2" s="705" t="str">
        <f>T(F2)</f>
        <v>Wskaźnik efektywności zatrudnieniowej, Podkarpackie</v>
      </c>
      <c r="I2" s="707" t="str">
        <f>T(G2)</f>
        <v>Wskaźnik efekt. kosztowej, Podkarpackie</v>
      </c>
    </row>
    <row r="3" spans="2:9" x14ac:dyDescent="0.2">
      <c r="B3" s="724">
        <v>2007</v>
      </c>
      <c r="C3" s="702" t="s">
        <v>169</v>
      </c>
      <c r="D3" s="709" t="s">
        <v>185</v>
      </c>
      <c r="E3" s="719" t="s">
        <v>169</v>
      </c>
      <c r="F3" s="708" t="s">
        <v>169</v>
      </c>
      <c r="G3" s="709" t="s">
        <v>61</v>
      </c>
      <c r="H3" s="703" t="s">
        <v>58</v>
      </c>
      <c r="I3" s="704" t="s">
        <v>58</v>
      </c>
    </row>
    <row r="4" spans="2:9" x14ac:dyDescent="0.2">
      <c r="B4" s="725">
        <v>2008</v>
      </c>
      <c r="C4" s="128" t="s">
        <v>169</v>
      </c>
      <c r="D4" s="726" t="s">
        <v>185</v>
      </c>
      <c r="E4" s="720" t="s">
        <v>169</v>
      </c>
      <c r="F4" s="710">
        <v>52.26</v>
      </c>
      <c r="G4" s="711">
        <v>11011</v>
      </c>
      <c r="H4" s="692">
        <f>RANK(F4,F4:F21)</f>
        <v>17</v>
      </c>
      <c r="I4" s="693">
        <f>RANK(G4,G4:G21)</f>
        <v>14</v>
      </c>
    </row>
    <row r="5" spans="2:9" x14ac:dyDescent="0.2">
      <c r="B5" s="725">
        <v>2009</v>
      </c>
      <c r="C5" s="128" t="s">
        <v>169</v>
      </c>
      <c r="D5" s="726" t="s">
        <v>185</v>
      </c>
      <c r="E5" s="720" t="s">
        <v>169</v>
      </c>
      <c r="F5" s="710">
        <v>51.78</v>
      </c>
      <c r="G5" s="711">
        <v>13435.373352855049</v>
      </c>
      <c r="H5" s="692">
        <f>RANK(F5,F4:F21)</f>
        <v>18</v>
      </c>
      <c r="I5" s="693">
        <f>RANK(G5,G4:G21)</f>
        <v>8</v>
      </c>
    </row>
    <row r="6" spans="2:9" ht="15" x14ac:dyDescent="0.2">
      <c r="B6" s="727">
        <v>2010</v>
      </c>
      <c r="C6" s="690" t="s">
        <v>169</v>
      </c>
      <c r="D6" s="728" t="s">
        <v>186</v>
      </c>
      <c r="E6" s="721">
        <v>386138.3</v>
      </c>
      <c r="F6" s="712">
        <v>53.1</v>
      </c>
      <c r="G6" s="713">
        <v>15720.32</v>
      </c>
      <c r="H6" s="694">
        <f>RANK(F6,F4:F21)</f>
        <v>16</v>
      </c>
      <c r="I6" s="695">
        <f>RANK(G6,G4:G21)</f>
        <v>5</v>
      </c>
    </row>
    <row r="7" spans="2:9" ht="15" x14ac:dyDescent="0.2">
      <c r="B7" s="727">
        <v>2011</v>
      </c>
      <c r="C7" s="690" t="s">
        <v>169</v>
      </c>
      <c r="D7" s="728" t="s">
        <v>186</v>
      </c>
      <c r="E7" s="721">
        <v>153860.79999999999</v>
      </c>
      <c r="F7" s="712">
        <v>54.9</v>
      </c>
      <c r="G7" s="713">
        <v>9972.18</v>
      </c>
      <c r="H7" s="694">
        <f>RANK(F7,F4:F21)</f>
        <v>15</v>
      </c>
      <c r="I7" s="695">
        <f>RANK(G7,G4:G21)</f>
        <v>18</v>
      </c>
    </row>
    <row r="8" spans="2:9" ht="15" x14ac:dyDescent="0.2">
      <c r="B8" s="727">
        <v>2012</v>
      </c>
      <c r="C8" s="690" t="s">
        <v>169</v>
      </c>
      <c r="D8" s="728" t="s">
        <v>186</v>
      </c>
      <c r="E8" s="721">
        <v>194132.6</v>
      </c>
      <c r="F8" s="712">
        <v>63.1</v>
      </c>
      <c r="G8" s="713">
        <v>11274.32</v>
      </c>
      <c r="H8" s="694">
        <f>RANK(F8,F4:F21)</f>
        <v>14</v>
      </c>
      <c r="I8" s="695">
        <f>RANK(G8,G4:G21)</f>
        <v>11</v>
      </c>
    </row>
    <row r="9" spans="2:9" ht="15" x14ac:dyDescent="0.2">
      <c r="B9" s="727">
        <v>2013</v>
      </c>
      <c r="C9" s="690" t="s">
        <v>169</v>
      </c>
      <c r="D9" s="728" t="s">
        <v>186</v>
      </c>
      <c r="E9" s="721">
        <v>235424.7</v>
      </c>
      <c r="F9" s="712">
        <v>66.7</v>
      </c>
      <c r="G9" s="713">
        <v>10422.09</v>
      </c>
      <c r="H9" s="694">
        <f>RANK(F9,F4:F21)</f>
        <v>13</v>
      </c>
      <c r="I9" s="695">
        <f>RANK(G9,G4:G21)</f>
        <v>17</v>
      </c>
    </row>
    <row r="10" spans="2:9" x14ac:dyDescent="0.2">
      <c r="B10" s="729">
        <v>2014</v>
      </c>
      <c r="C10" s="46" t="s">
        <v>169</v>
      </c>
      <c r="D10" s="730" t="s">
        <v>187</v>
      </c>
      <c r="E10" s="504">
        <v>269440.7</v>
      </c>
      <c r="F10" s="714">
        <v>76.5</v>
      </c>
      <c r="G10" s="715">
        <v>11068.05</v>
      </c>
      <c r="H10" s="696">
        <f>RANK(F10,F4:F21)</f>
        <v>11</v>
      </c>
      <c r="I10" s="697">
        <f>RANK(G10,G4:G21)</f>
        <v>13</v>
      </c>
    </row>
    <row r="11" spans="2:9" x14ac:dyDescent="0.2">
      <c r="B11" s="729">
        <v>2015</v>
      </c>
      <c r="C11" s="46" t="s">
        <v>169</v>
      </c>
      <c r="D11" s="730" t="s">
        <v>187</v>
      </c>
      <c r="E11" s="504">
        <v>278247.90000000002</v>
      </c>
      <c r="F11" s="714">
        <v>74.3</v>
      </c>
      <c r="G11" s="715">
        <v>13907.53</v>
      </c>
      <c r="H11" s="696">
        <f>RANK(F11,F4:F21)</f>
        <v>12</v>
      </c>
      <c r="I11" s="697">
        <f>RANK(G11,G4:G21)</f>
        <v>7</v>
      </c>
    </row>
    <row r="12" spans="2:9" x14ac:dyDescent="0.2">
      <c r="B12" s="729">
        <v>2016</v>
      </c>
      <c r="C12" s="46" t="s">
        <v>169</v>
      </c>
      <c r="D12" s="730" t="s">
        <v>187</v>
      </c>
      <c r="E12" s="504">
        <v>264833.30000000005</v>
      </c>
      <c r="F12" s="714">
        <v>80.599999999999994</v>
      </c>
      <c r="G12" s="715">
        <v>11609.894349217482</v>
      </c>
      <c r="H12" s="696">
        <f>RANK(F12,F4:F21)</f>
        <v>10</v>
      </c>
      <c r="I12" s="697">
        <f>RANK(G12,G4:G21)</f>
        <v>10</v>
      </c>
    </row>
    <row r="13" spans="2:9" x14ac:dyDescent="0.2">
      <c r="B13" s="729">
        <v>2017</v>
      </c>
      <c r="C13" s="46" t="s">
        <v>169</v>
      </c>
      <c r="D13" s="730" t="s">
        <v>187</v>
      </c>
      <c r="E13" s="504">
        <f>SUM('17r'!I13)</f>
        <v>249008.5</v>
      </c>
      <c r="F13" s="714">
        <v>86.1</v>
      </c>
      <c r="G13" s="715">
        <f>SUM('17r'!H13)</f>
        <v>11688.893583063418</v>
      </c>
      <c r="H13" s="696">
        <f>RANK(F13,F4:F21)</f>
        <v>8</v>
      </c>
      <c r="I13" s="697">
        <f>RANK(G13,G4:G21)</f>
        <v>9</v>
      </c>
    </row>
    <row r="14" spans="2:9" x14ac:dyDescent="0.2">
      <c r="B14" s="729">
        <v>2018</v>
      </c>
      <c r="C14" s="46" t="s">
        <v>169</v>
      </c>
      <c r="D14" s="730" t="s">
        <v>187</v>
      </c>
      <c r="E14" s="504">
        <f>SUM('18r'!I13)</f>
        <v>207378.2</v>
      </c>
      <c r="F14" s="714">
        <v>88.2</v>
      </c>
      <c r="G14" s="715">
        <f>SUM('18r'!H13)</f>
        <v>10588.083324823854</v>
      </c>
      <c r="H14" s="696">
        <f>RANK(F14,F4:F21)</f>
        <v>4</v>
      </c>
      <c r="I14" s="697">
        <f>RANK(G14,G4:G21)</f>
        <v>15</v>
      </c>
    </row>
    <row r="15" spans="2:9" x14ac:dyDescent="0.2">
      <c r="B15" s="729">
        <v>2019</v>
      </c>
      <c r="C15" s="46" t="s">
        <v>169</v>
      </c>
      <c r="D15" s="730" t="s">
        <v>187</v>
      </c>
      <c r="E15" s="504">
        <f>SUM('19r'!I13)</f>
        <v>167147.29999999999</v>
      </c>
      <c r="F15" s="714">
        <v>89.2</v>
      </c>
      <c r="G15" s="715">
        <f>SUM('19r'!H13)</f>
        <v>10436.921635966282</v>
      </c>
      <c r="H15" s="696">
        <f>RANK(F15,F4:F21)</f>
        <v>2</v>
      </c>
      <c r="I15" s="697">
        <f>RANK(G15,G4:G21)</f>
        <v>16</v>
      </c>
    </row>
    <row r="16" spans="2:9" x14ac:dyDescent="0.2">
      <c r="B16" s="729">
        <v>2020</v>
      </c>
      <c r="C16" s="46" t="s">
        <v>169</v>
      </c>
      <c r="D16" s="730" t="s">
        <v>187</v>
      </c>
      <c r="E16" s="504">
        <f>SUM('20r'!I13)</f>
        <v>149797.4</v>
      </c>
      <c r="F16" s="714">
        <f>SUM('20r'!G13)</f>
        <v>88.49482103054936</v>
      </c>
      <c r="G16" s="715">
        <f>SUM('20r'!H13)</f>
        <v>11096.925698199866</v>
      </c>
      <c r="H16" s="696">
        <f>RANK(F16,F4:F21)</f>
        <v>3</v>
      </c>
      <c r="I16" s="697">
        <f>RANK(G16,G4:G21)</f>
        <v>12</v>
      </c>
    </row>
    <row r="17" spans="2:9" ht="15" x14ac:dyDescent="0.2">
      <c r="B17" s="731">
        <v>2021</v>
      </c>
      <c r="C17" s="688" t="s">
        <v>169</v>
      </c>
      <c r="D17" s="732" t="s">
        <v>186</v>
      </c>
      <c r="E17" s="722">
        <f>SUM('21r'!I14)</f>
        <v>223535.81076000002</v>
      </c>
      <c r="F17" s="716">
        <f>SUM('21r'!G14)</f>
        <v>89.471425067451563</v>
      </c>
      <c r="G17" s="717">
        <f>SUM('21r'!H14)</f>
        <v>15320.115876910426</v>
      </c>
      <c r="H17" s="698">
        <f>RANK(F17,F4:F21)</f>
        <v>1</v>
      </c>
      <c r="I17" s="699">
        <f>RANK(G17,G4:G21)</f>
        <v>6</v>
      </c>
    </row>
    <row r="18" spans="2:9" x14ac:dyDescent="0.2">
      <c r="B18" s="729">
        <v>2022</v>
      </c>
      <c r="C18" s="46" t="s">
        <v>169</v>
      </c>
      <c r="D18" s="730" t="s">
        <v>187</v>
      </c>
      <c r="E18" s="504">
        <f>SUM('22r'!I13)</f>
        <v>276339.48751000001</v>
      </c>
      <c r="F18" s="714">
        <f>SUM('22r'!G13)</f>
        <v>86.64716272907927</v>
      </c>
      <c r="G18" s="715">
        <f>SUM('22r'!H13)</f>
        <v>17604.605179970695</v>
      </c>
      <c r="H18" s="696">
        <f>RANK(F18,F4:F21)</f>
        <v>6</v>
      </c>
      <c r="I18" s="697">
        <f>RANK(G18,G4:G21)</f>
        <v>4</v>
      </c>
    </row>
    <row r="19" spans="2:9" x14ac:dyDescent="0.2">
      <c r="B19" s="729">
        <v>2023</v>
      </c>
      <c r="C19" s="46" t="s">
        <v>169</v>
      </c>
      <c r="D19" s="730" t="s">
        <v>187</v>
      </c>
      <c r="E19" s="504">
        <f>SUM('23r'!I13)</f>
        <v>276382.56017000001</v>
      </c>
      <c r="F19" s="714">
        <f>SUM('23r'!G13)</f>
        <v>86.041295220567093</v>
      </c>
      <c r="G19" s="715">
        <f>SUM('23r'!H13)</f>
        <v>18474.770064839573</v>
      </c>
      <c r="H19" s="696">
        <f>RANK(F19,F4:F21)</f>
        <v>9</v>
      </c>
      <c r="I19" s="697">
        <f>RANK(G19,G4:G21)</f>
        <v>3</v>
      </c>
    </row>
    <row r="20" spans="2:9" x14ac:dyDescent="0.2">
      <c r="B20" s="729">
        <v>2024</v>
      </c>
      <c r="C20" s="46" t="s">
        <v>169</v>
      </c>
      <c r="D20" s="730" t="s">
        <v>187</v>
      </c>
      <c r="E20" s="504">
        <f>SUM('24r'!I13)</f>
        <v>251704.30836000002</v>
      </c>
      <c r="F20" s="714">
        <f>SUM('24r'!G13)</f>
        <v>87.501660247044768</v>
      </c>
      <c r="G20" s="715">
        <f>SUM('24r'!H13)</f>
        <v>19103.241375227688</v>
      </c>
      <c r="H20" s="696">
        <f>RANK(F20,F4:F21)</f>
        <v>5</v>
      </c>
      <c r="I20" s="697">
        <f>RANK(G20,G4:G21)</f>
        <v>2</v>
      </c>
    </row>
    <row r="21" spans="2:9" ht="15" thickBot="1" x14ac:dyDescent="0.25">
      <c r="B21" s="733">
        <v>2025</v>
      </c>
      <c r="C21" s="52" t="s">
        <v>169</v>
      </c>
      <c r="D21" s="734" t="s">
        <v>187</v>
      </c>
      <c r="E21" s="735">
        <f>SUM('25r'!I13)</f>
        <v>242570.32265999995</v>
      </c>
      <c r="F21" s="736">
        <f>SUM('25r'!G13)</f>
        <v>86.175422974176314</v>
      </c>
      <c r="G21" s="737">
        <f>SUM('25r'!H13)</f>
        <v>20887.82594161715</v>
      </c>
      <c r="H21" s="738">
        <f>RANK(F21,F4:F21)</f>
        <v>7</v>
      </c>
      <c r="I21" s="739">
        <f>RANK(G21,G4:G21)</f>
        <v>1</v>
      </c>
    </row>
    <row r="22" spans="2:9" ht="15" thickBot="1" x14ac:dyDescent="0.25">
      <c r="B22" s="740">
        <v>1</v>
      </c>
      <c r="C22" s="741">
        <v>2</v>
      </c>
      <c r="D22" s="742">
        <v>4</v>
      </c>
      <c r="E22" s="743">
        <v>5</v>
      </c>
      <c r="F22" s="740">
        <v>3</v>
      </c>
      <c r="G22" s="744">
        <v>6</v>
      </c>
      <c r="H22" s="745">
        <v>8</v>
      </c>
      <c r="I22" s="746">
        <v>7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C87DB-0880-4EBE-99C7-C2AA8399A67E}">
  <sheetPr>
    <tabColor theme="0"/>
    <pageSetUpPr fitToPage="1"/>
  </sheetPr>
  <dimension ref="B1:U39"/>
  <sheetViews>
    <sheetView zoomScale="80" zoomScaleNormal="80" workbookViewId="0">
      <selection activeCell="I20" sqref="I20"/>
    </sheetView>
  </sheetViews>
  <sheetFormatPr defaultRowHeight="14.25" x14ac:dyDescent="0.2"/>
  <cols>
    <col min="1" max="1" width="1.7109375" style="44" customWidth="1"/>
    <col min="2" max="2" width="5.5703125" style="44" customWidth="1"/>
    <col min="3" max="3" width="65.42578125" style="44" customWidth="1"/>
    <col min="4" max="4" width="12.42578125" style="44" customWidth="1"/>
    <col min="5" max="5" width="10.42578125" style="44" customWidth="1"/>
    <col min="6" max="6" width="10.140625" style="44" customWidth="1"/>
    <col min="7" max="7" width="14.7109375" style="44" customWidth="1"/>
    <col min="8" max="8" width="14.42578125" style="44" customWidth="1"/>
    <col min="9" max="9" width="12.42578125" style="44" customWidth="1"/>
    <col min="10" max="10" width="15.140625" style="44" customWidth="1"/>
    <col min="11" max="11" width="12.7109375" style="44" customWidth="1"/>
    <col min="12" max="12" width="3.28515625" style="44" customWidth="1"/>
    <col min="13" max="13" width="8" style="44" customWidth="1"/>
    <col min="14" max="14" width="7.7109375" style="44" customWidth="1"/>
    <col min="15" max="15" width="3.28515625" style="44" customWidth="1"/>
    <col min="16" max="16" width="10.7109375" style="44" customWidth="1"/>
    <col min="17" max="17" width="10.42578125" style="44" customWidth="1"/>
    <col min="18" max="18" width="14.28515625" style="44" customWidth="1"/>
    <col min="19" max="19" width="9.85546875" style="44" customWidth="1"/>
    <col min="20" max="20" width="8.7109375" style="44" customWidth="1"/>
    <col min="21" max="21" width="9.28515625" style="44" customWidth="1"/>
    <col min="22" max="16384" width="9.140625" style="44"/>
  </cols>
  <sheetData>
    <row r="1" spans="2:21" x14ac:dyDescent="0.2">
      <c r="B1" s="96" t="s">
        <v>459</v>
      </c>
      <c r="D1" s="45"/>
      <c r="E1" s="45"/>
      <c r="F1" s="45"/>
      <c r="G1" s="382" t="s">
        <v>250</v>
      </c>
      <c r="H1" s="320" t="s">
        <v>248</v>
      </c>
      <c r="I1" s="45"/>
      <c r="J1" s="45"/>
      <c r="K1" s="45"/>
    </row>
    <row r="2" spans="2:21" x14ac:dyDescent="0.2">
      <c r="B2" s="330"/>
      <c r="C2" s="760" t="s">
        <v>296</v>
      </c>
      <c r="D2" s="321"/>
      <c r="E2" s="321"/>
      <c r="F2" s="343"/>
      <c r="G2" s="321"/>
      <c r="H2" s="321"/>
      <c r="I2" s="321"/>
      <c r="J2" s="322"/>
      <c r="K2" s="322"/>
    </row>
    <row r="3" spans="2:21" ht="66" customHeight="1" x14ac:dyDescent="0.2">
      <c r="B3" s="356"/>
      <c r="C3" s="761"/>
      <c r="D3" s="318" t="s">
        <v>102</v>
      </c>
      <c r="E3" s="318" t="s">
        <v>103</v>
      </c>
      <c r="F3" s="344" t="s">
        <v>104</v>
      </c>
      <c r="G3" s="353" t="s">
        <v>105</v>
      </c>
      <c r="H3" s="318" t="s">
        <v>227</v>
      </c>
      <c r="I3" s="318" t="s">
        <v>158</v>
      </c>
      <c r="J3" s="349" t="s">
        <v>177</v>
      </c>
      <c r="K3" s="323" t="s">
        <v>176</v>
      </c>
    </row>
    <row r="4" spans="2:21" ht="36" x14ac:dyDescent="0.2">
      <c r="B4" s="331" t="s">
        <v>100</v>
      </c>
      <c r="C4" s="761"/>
      <c r="D4" s="318"/>
      <c r="E4" s="318"/>
      <c r="F4" s="344"/>
      <c r="G4" s="318" t="s">
        <v>226</v>
      </c>
      <c r="H4" s="318" t="s">
        <v>315</v>
      </c>
      <c r="I4" s="318"/>
      <c r="J4" s="350"/>
      <c r="K4" s="318" t="s">
        <v>315</v>
      </c>
    </row>
    <row r="5" spans="2:21" x14ac:dyDescent="0.2">
      <c r="B5" s="332"/>
      <c r="C5" s="762"/>
      <c r="D5" s="324"/>
      <c r="E5" s="324"/>
      <c r="F5" s="345"/>
      <c r="G5" s="324"/>
      <c r="H5" s="324"/>
      <c r="I5" s="324"/>
      <c r="J5" s="325"/>
      <c r="K5" s="325"/>
      <c r="M5" s="60"/>
      <c r="N5" s="60"/>
      <c r="O5" s="61"/>
      <c r="P5" s="60"/>
      <c r="Q5" s="60"/>
      <c r="R5" s="61"/>
      <c r="S5" s="60"/>
      <c r="T5" s="60"/>
      <c r="U5" s="61"/>
    </row>
    <row r="6" spans="2:21" x14ac:dyDescent="0.2">
      <c r="B6" s="125">
        <v>1</v>
      </c>
      <c r="C6" s="338" t="s">
        <v>2</v>
      </c>
      <c r="D6" s="46">
        <f>SUM('z24'!E6)</f>
        <v>1597</v>
      </c>
      <c r="E6" s="46">
        <f>SUM('z24'!F6)</f>
        <v>1284</v>
      </c>
      <c r="F6" s="245">
        <f>SUM('z24'!G6)</f>
        <v>729</v>
      </c>
      <c r="G6" s="126">
        <f t="shared" ref="G6:G14" si="0">SUM(F6/E6)*100</f>
        <v>56.77570093457944</v>
      </c>
      <c r="H6" s="126">
        <f t="shared" ref="H6:H14" si="1">SUM(J6/F6)</f>
        <v>9581.5357613168762</v>
      </c>
      <c r="I6" s="127">
        <f>SUM('z24'!D6)</f>
        <v>6984.9395700000023</v>
      </c>
      <c r="J6" s="305">
        <f t="shared" ref="J6:J14" si="2">SUM(I6*1000)</f>
        <v>6984939.5700000022</v>
      </c>
      <c r="K6" s="326">
        <f t="shared" ref="K6:K13" si="3">SUM(J6/D6)</f>
        <v>4373.7880839073277</v>
      </c>
      <c r="M6" s="80"/>
      <c r="N6" s="80"/>
      <c r="O6" s="61"/>
      <c r="P6" s="81"/>
      <c r="Q6" s="60"/>
      <c r="R6" s="60"/>
      <c r="S6" s="62"/>
      <c r="T6" s="62"/>
      <c r="U6" s="62"/>
    </row>
    <row r="7" spans="2:21" x14ac:dyDescent="0.2">
      <c r="B7" s="125">
        <v>2</v>
      </c>
      <c r="C7" s="338" t="s">
        <v>1</v>
      </c>
      <c r="D7" s="46">
        <f>SUM('z24'!E5)</f>
        <v>6149</v>
      </c>
      <c r="E7" s="46">
        <f>SUM('z24'!F5)</f>
        <v>4744</v>
      </c>
      <c r="F7" s="245">
        <f>SUM('z24'!G5)</f>
        <v>3947</v>
      </c>
      <c r="G7" s="126">
        <f t="shared" si="0"/>
        <v>83.199831365935921</v>
      </c>
      <c r="H7" s="126">
        <f t="shared" si="1"/>
        <v>16068.55786166709</v>
      </c>
      <c r="I7" s="127">
        <f>SUM('z24'!D5)</f>
        <v>63422.597880000001</v>
      </c>
      <c r="J7" s="305">
        <f t="shared" si="2"/>
        <v>63422597.880000003</v>
      </c>
      <c r="K7" s="326">
        <f t="shared" si="3"/>
        <v>10314.294662546756</v>
      </c>
      <c r="M7" s="80"/>
      <c r="N7" s="60"/>
      <c r="O7" s="61"/>
      <c r="P7" s="81"/>
      <c r="Q7" s="60"/>
      <c r="R7" s="60"/>
      <c r="S7" s="62"/>
      <c r="T7" s="62"/>
      <c r="U7" s="62"/>
    </row>
    <row r="8" spans="2:21" x14ac:dyDescent="0.2">
      <c r="B8" s="125">
        <v>3</v>
      </c>
      <c r="C8" s="338" t="s">
        <v>3</v>
      </c>
      <c r="D8" s="46">
        <f>SUM('z24'!E7)</f>
        <v>4229</v>
      </c>
      <c r="E8" s="46">
        <f>SUM('z24'!F7)</f>
        <v>3080</v>
      </c>
      <c r="F8" s="245">
        <f>SUM('z24'!G7)</f>
        <v>2874</v>
      </c>
      <c r="G8" s="126">
        <f t="shared" si="0"/>
        <v>93.311688311688314</v>
      </c>
      <c r="H8" s="126">
        <f>SUM(J8/F8)</f>
        <v>10383.166715379262</v>
      </c>
      <c r="I8" s="127">
        <f>SUM('z24'!D7)</f>
        <v>29841.221140000001</v>
      </c>
      <c r="J8" s="305">
        <f t="shared" si="2"/>
        <v>29841221.140000001</v>
      </c>
      <c r="K8" s="326">
        <f t="shared" si="3"/>
        <v>7056.3303712461575</v>
      </c>
      <c r="M8" s="80"/>
      <c r="N8" s="60"/>
      <c r="O8" s="61"/>
      <c r="P8" s="81"/>
      <c r="Q8" s="60"/>
      <c r="R8" s="60"/>
      <c r="S8" s="62"/>
      <c r="T8" s="62"/>
      <c r="U8" s="62"/>
    </row>
    <row r="9" spans="2:21" x14ac:dyDescent="0.2">
      <c r="B9" s="125">
        <v>4</v>
      </c>
      <c r="C9" s="338" t="s">
        <v>4</v>
      </c>
      <c r="D9" s="46">
        <f>SUM('z24'!E8)</f>
        <v>1832</v>
      </c>
      <c r="E9" s="46">
        <f>SUM('z24'!F8)</f>
        <v>1629</v>
      </c>
      <c r="F9" s="245">
        <f>SUM('z24'!G8)</f>
        <v>1552</v>
      </c>
      <c r="G9" s="126">
        <f t="shared" si="0"/>
        <v>95.273173726212406</v>
      </c>
      <c r="H9" s="126">
        <f t="shared" si="1"/>
        <v>19243.137068298973</v>
      </c>
      <c r="I9" s="127">
        <f>SUM('z24'!D8)</f>
        <v>29865.348730000005</v>
      </c>
      <c r="J9" s="305">
        <f t="shared" si="2"/>
        <v>29865348.730000004</v>
      </c>
      <c r="K9" s="326">
        <f t="shared" si="3"/>
        <v>16302.046250000003</v>
      </c>
      <c r="M9" s="80"/>
      <c r="N9" s="60"/>
      <c r="O9" s="61"/>
      <c r="P9" s="81"/>
      <c r="Q9" s="60"/>
      <c r="R9" s="60"/>
      <c r="S9" s="62"/>
      <c r="T9" s="62"/>
      <c r="U9" s="62"/>
    </row>
    <row r="10" spans="2:21" x14ac:dyDescent="0.2">
      <c r="B10" s="125">
        <v>5</v>
      </c>
      <c r="C10" s="338" t="s">
        <v>56</v>
      </c>
      <c r="D10" s="46">
        <f>SUM('z24'!E23)</f>
        <v>1881</v>
      </c>
      <c r="E10" s="46">
        <f>SUM('z24'!F23)</f>
        <v>2316</v>
      </c>
      <c r="F10" s="245">
        <f>SUM('z24'!G23)</f>
        <v>2225</v>
      </c>
      <c r="G10" s="126">
        <f t="shared" si="0"/>
        <v>96.070811744386873</v>
      </c>
      <c r="H10" s="126">
        <f t="shared" si="1"/>
        <v>30190.15993707865</v>
      </c>
      <c r="I10" s="127">
        <f>SUM('z24'!D23)</f>
        <v>67173.105859999996</v>
      </c>
      <c r="J10" s="305">
        <f t="shared" si="2"/>
        <v>67173105.859999999</v>
      </c>
      <c r="K10" s="326">
        <f t="shared" si="3"/>
        <v>35711.380042530567</v>
      </c>
      <c r="M10" s="80"/>
      <c r="N10" s="60"/>
      <c r="O10" s="61"/>
      <c r="P10" s="81"/>
      <c r="Q10" s="60"/>
      <c r="R10" s="60"/>
      <c r="S10" s="62"/>
      <c r="T10" s="62"/>
      <c r="U10" s="62"/>
    </row>
    <row r="11" spans="2:21" ht="15" customHeight="1" x14ac:dyDescent="0.2">
      <c r="B11" s="333">
        <v>6</v>
      </c>
      <c r="C11" s="339" t="s">
        <v>57</v>
      </c>
      <c r="D11" s="52">
        <f>SUM('z24'!E25)</f>
        <v>1378</v>
      </c>
      <c r="E11" s="52">
        <f>SUM('z24'!F25)</f>
        <v>2005</v>
      </c>
      <c r="F11" s="403">
        <f>SUM('z24'!G25)</f>
        <v>1849</v>
      </c>
      <c r="G11" s="354">
        <f t="shared" si="0"/>
        <v>92.219451371571068</v>
      </c>
      <c r="H11" s="354">
        <f t="shared" si="1"/>
        <v>29430.554451054621</v>
      </c>
      <c r="I11" s="351">
        <f>SUM('z24'!D25)</f>
        <v>54417.095179999989</v>
      </c>
      <c r="J11" s="336">
        <f t="shared" si="2"/>
        <v>54417095.179999992</v>
      </c>
      <c r="K11" s="329">
        <f t="shared" si="3"/>
        <v>39489.909419448471</v>
      </c>
      <c r="M11" s="80"/>
      <c r="N11" s="60"/>
      <c r="O11" s="61"/>
      <c r="P11" s="81"/>
      <c r="Q11" s="60"/>
      <c r="R11" s="60"/>
      <c r="S11" s="62"/>
      <c r="T11" s="62"/>
      <c r="U11" s="62"/>
    </row>
    <row r="12" spans="2:21" ht="15" customHeight="1" x14ac:dyDescent="0.2">
      <c r="B12" s="333">
        <v>7</v>
      </c>
      <c r="C12" s="339" t="s">
        <v>11</v>
      </c>
      <c r="D12" s="52">
        <f>SUM('z24'!E17)</f>
        <v>920</v>
      </c>
      <c r="E12" s="52">
        <f>SUM('z24'!F17)</f>
        <v>1141</v>
      </c>
      <c r="F12" s="403">
        <f>SUM('z24'!G17)</f>
        <v>1055</v>
      </c>
      <c r="G12" s="354">
        <f t="shared" si="0"/>
        <v>92.462751971954432</v>
      </c>
      <c r="H12" s="354">
        <f t="shared" si="1"/>
        <v>9824.9886919431283</v>
      </c>
      <c r="I12" s="351">
        <f>SUM('z24'!D17)</f>
        <v>10365.363069999999</v>
      </c>
      <c r="J12" s="336">
        <f t="shared" si="2"/>
        <v>10365363.07</v>
      </c>
      <c r="K12" s="329">
        <f t="shared" si="3"/>
        <v>11266.698989130435</v>
      </c>
      <c r="M12" s="80"/>
      <c r="N12" s="80"/>
      <c r="O12" s="61"/>
      <c r="P12" s="81"/>
      <c r="Q12" s="60"/>
      <c r="R12" s="60"/>
      <c r="S12" s="62"/>
      <c r="T12" s="62"/>
      <c r="U12" s="62"/>
    </row>
    <row r="13" spans="2:21" x14ac:dyDescent="0.2">
      <c r="B13" s="334">
        <v>8</v>
      </c>
      <c r="C13" s="340" t="s">
        <v>288</v>
      </c>
      <c r="D13" s="327">
        <f>SUM(D6:D11)</f>
        <v>17066</v>
      </c>
      <c r="E13" s="327">
        <f>SUM(E6:E11)</f>
        <v>15058</v>
      </c>
      <c r="F13" s="346">
        <f>SUM(F6:F11)</f>
        <v>13176</v>
      </c>
      <c r="G13" s="355">
        <f t="shared" si="0"/>
        <v>87.501660247044768</v>
      </c>
      <c r="H13" s="355">
        <f t="shared" si="1"/>
        <v>19103.241375227688</v>
      </c>
      <c r="I13" s="352">
        <f>SUM(I6:I11)</f>
        <v>251704.30836000002</v>
      </c>
      <c r="J13" s="337">
        <f t="shared" si="2"/>
        <v>251704308.36000001</v>
      </c>
      <c r="K13" s="328">
        <f t="shared" si="3"/>
        <v>14748.875445915857</v>
      </c>
      <c r="M13" s="80"/>
      <c r="N13" s="80"/>
      <c r="O13" s="61"/>
      <c r="P13" s="81"/>
      <c r="Q13" s="62"/>
      <c r="R13" s="60"/>
      <c r="S13" s="62"/>
      <c r="T13" s="62"/>
      <c r="U13" s="62"/>
    </row>
    <row r="14" spans="2:21" x14ac:dyDescent="0.2">
      <c r="B14" s="335">
        <v>9</v>
      </c>
      <c r="C14" s="338" t="s">
        <v>278</v>
      </c>
      <c r="D14" s="46">
        <f>SUM(D6:D12)</f>
        <v>17986</v>
      </c>
      <c r="E14" s="46">
        <f>SUM(E6:E12)</f>
        <v>16199</v>
      </c>
      <c r="F14" s="245">
        <f>SUM(F6:F12)</f>
        <v>14231</v>
      </c>
      <c r="G14" s="126">
        <f t="shared" si="0"/>
        <v>87.851101919871596</v>
      </c>
      <c r="H14" s="126">
        <f t="shared" si="1"/>
        <v>18415.408012788983</v>
      </c>
      <c r="I14" s="127">
        <f>SUM(I6:I12)</f>
        <v>262069.67143000002</v>
      </c>
      <c r="J14" s="305">
        <f t="shared" si="2"/>
        <v>262069671.43000001</v>
      </c>
      <c r="K14" s="326">
        <f t="shared" ref="K14" si="4">SUM(J14/D14)</f>
        <v>14570.759003113533</v>
      </c>
      <c r="M14" s="61"/>
      <c r="N14" s="61"/>
      <c r="O14" s="61"/>
      <c r="P14" s="62"/>
      <c r="Q14" s="62"/>
      <c r="R14" s="62"/>
      <c r="S14" s="62"/>
      <c r="T14" s="62"/>
      <c r="U14" s="60"/>
    </row>
    <row r="16" spans="2:21" x14ac:dyDescent="0.2">
      <c r="D16" s="475">
        <v>66410.166666666701</v>
      </c>
      <c r="E16" s="94"/>
      <c r="I16" s="49">
        <f>SUM(I6/I13)*100</f>
        <v>2.7750576124465036</v>
      </c>
      <c r="J16" s="48"/>
    </row>
    <row r="17" spans="4:16" x14ac:dyDescent="0.2">
      <c r="D17" s="94">
        <f>SUM(D13)/D16*100</f>
        <v>25.697872564692641</v>
      </c>
      <c r="I17" s="49">
        <f>SUM(I7/I13)*100</f>
        <v>25.197263524504255</v>
      </c>
      <c r="J17" s="50"/>
      <c r="M17" s="99"/>
      <c r="N17" s="100"/>
      <c r="O17" s="100"/>
      <c r="P17" s="99"/>
    </row>
    <row r="18" spans="4:16" ht="12" customHeight="1" x14ac:dyDescent="0.2">
      <c r="D18" s="200">
        <f>SUM(D6:D11)</f>
        <v>17066</v>
      </c>
      <c r="I18" s="49">
        <f>SUM(I8/I13)*100</f>
        <v>11.855665615909761</v>
      </c>
      <c r="J18" s="49"/>
    </row>
    <row r="19" spans="4:16" x14ac:dyDescent="0.2">
      <c r="D19" s="200">
        <f>SUM(E6:E11)</f>
        <v>15058</v>
      </c>
      <c r="G19" s="47"/>
      <c r="I19" s="49">
        <f>SUM(I9/I13)*100</f>
        <v>11.865251304036121</v>
      </c>
      <c r="J19" s="49"/>
    </row>
    <row r="20" spans="4:16" x14ac:dyDescent="0.2">
      <c r="D20" s="94">
        <f>SUM(D19)/D18*100</f>
        <v>88.233915387319811</v>
      </c>
      <c r="G20" s="47"/>
      <c r="I20" s="49">
        <f>SUM(I10/I13)*100</f>
        <v>26.687308730498838</v>
      </c>
      <c r="J20" s="55"/>
    </row>
    <row r="21" spans="4:16" ht="16.5" customHeight="1" x14ac:dyDescent="0.2">
      <c r="D21" s="94">
        <f>SUM(D7)/D13*100</f>
        <v>36.030704324387671</v>
      </c>
      <c r="G21" s="47"/>
      <c r="I21" s="49">
        <f>SUM(I11/I13)*100</f>
        <v>21.619453212604512</v>
      </c>
      <c r="J21" s="55"/>
    </row>
    <row r="22" spans="4:16" ht="15" customHeight="1" x14ac:dyDescent="0.2">
      <c r="D22" s="94">
        <f>SUM(E13/D13)*100</f>
        <v>88.233915387319811</v>
      </c>
      <c r="F22" s="47"/>
      <c r="G22" s="47"/>
      <c r="I22" s="49">
        <f>SUM(I16:I21)</f>
        <v>99.999999999999986</v>
      </c>
      <c r="J22" s="55"/>
    </row>
    <row r="23" spans="4:16" ht="15" customHeight="1" x14ac:dyDescent="0.2">
      <c r="D23" s="94">
        <f>SUM(F14/D14)*100</f>
        <v>79.122650950739455</v>
      </c>
      <c r="G23" s="47"/>
      <c r="I23" s="49">
        <f>SUM(I12/I14)*100</f>
        <v>3.955193675575174</v>
      </c>
      <c r="J23" s="55"/>
    </row>
    <row r="24" spans="4:16" ht="15" customHeight="1" x14ac:dyDescent="0.2">
      <c r="D24" s="530">
        <f>SUM(D7/D13)*100</f>
        <v>36.030704324387671</v>
      </c>
      <c r="G24" s="47"/>
      <c r="I24" s="50"/>
    </row>
    <row r="25" spans="4:16" ht="15.75" customHeight="1" x14ac:dyDescent="0.2">
      <c r="D25" s="530">
        <f>SUM(D8/D13)*100</f>
        <v>24.780264854095861</v>
      </c>
      <c r="G25" s="47"/>
    </row>
    <row r="26" spans="4:16" ht="18" customHeight="1" x14ac:dyDescent="0.2">
      <c r="D26" s="530">
        <f>SUM(D10/D13)*100</f>
        <v>11.021914918551506</v>
      </c>
    </row>
    <row r="27" spans="4:16" ht="15" customHeight="1" x14ac:dyDescent="0.2">
      <c r="D27" s="530">
        <f>SUM(D11/D13)*100</f>
        <v>8.0745341614906838</v>
      </c>
    </row>
    <row r="28" spans="4:16" x14ac:dyDescent="0.2">
      <c r="D28" s="530">
        <f>SUM(D9/D13)*100</f>
        <v>10.734794327903433</v>
      </c>
    </row>
    <row r="29" spans="4:16" x14ac:dyDescent="0.2">
      <c r="D29" s="530">
        <f>SUM(D6/D13)*100</f>
        <v>9.3577874135708417</v>
      </c>
    </row>
    <row r="32" spans="4:16" ht="63" customHeight="1" x14ac:dyDescent="0.2"/>
    <row r="35" ht="15" customHeight="1" x14ac:dyDescent="0.2"/>
    <row r="36" ht="18.75" customHeight="1" x14ac:dyDescent="0.2"/>
    <row r="37" ht="15.75" customHeight="1" x14ac:dyDescent="0.2"/>
    <row r="38" ht="14.25" customHeight="1" x14ac:dyDescent="0.2"/>
    <row r="39" ht="12" customHeight="1" x14ac:dyDescent="0.2"/>
  </sheetData>
  <mergeCells count="1">
    <mergeCell ref="C2:C5"/>
  </mergeCells>
  <pageMargins left="0" right="0" top="0" bottom="0" header="0" footer="0"/>
  <pageSetup paperSize="9" scale="5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59999389629810485"/>
  </sheetPr>
  <dimension ref="B1:N34"/>
  <sheetViews>
    <sheetView zoomScale="80" zoomScaleNormal="80" workbookViewId="0">
      <selection activeCell="B1" sqref="B1"/>
    </sheetView>
  </sheetViews>
  <sheetFormatPr defaultRowHeight="14.25" x14ac:dyDescent="0.2"/>
  <cols>
    <col min="1" max="1" width="2.42578125" style="44" customWidth="1"/>
    <col min="2" max="2" width="9.140625" style="44"/>
    <col min="3" max="3" width="31.7109375" style="44" customWidth="1"/>
    <col min="4" max="4" width="28.7109375" style="44" customWidth="1"/>
    <col min="5" max="5" width="21.5703125" style="44" customWidth="1"/>
    <col min="6" max="6" width="15.7109375" style="45" customWidth="1"/>
    <col min="7" max="7" width="3.7109375" style="44" customWidth="1"/>
    <col min="8" max="8" width="7.42578125" style="44" customWidth="1"/>
    <col min="9" max="9" width="10" style="44" customWidth="1"/>
    <col min="10" max="10" width="8.28515625" style="44" customWidth="1"/>
    <col min="11" max="11" width="9.140625" style="44"/>
    <col min="12" max="12" width="34.7109375" style="44" customWidth="1"/>
    <col min="13" max="13" width="23.85546875" style="44" customWidth="1"/>
    <col min="14" max="14" width="21.5703125" style="44" customWidth="1"/>
    <col min="15" max="16384" width="9.140625" style="44"/>
  </cols>
  <sheetData>
    <row r="1" spans="2:14" ht="18.75" customHeight="1" x14ac:dyDescent="0.2">
      <c r="B1" s="96" t="s">
        <v>290</v>
      </c>
      <c r="K1" s="476" t="s">
        <v>312</v>
      </c>
      <c r="L1" s="472"/>
      <c r="M1" s="472"/>
      <c r="N1" s="472"/>
    </row>
    <row r="2" spans="2:14" ht="54.75" customHeight="1" x14ac:dyDescent="0.2">
      <c r="B2" s="249" t="s">
        <v>190</v>
      </c>
      <c r="C2" s="477" t="s">
        <v>52</v>
      </c>
      <c r="D2" s="477" t="s">
        <v>97</v>
      </c>
      <c r="E2" s="477" t="s">
        <v>156</v>
      </c>
      <c r="F2" s="477" t="s">
        <v>329</v>
      </c>
      <c r="K2" s="478" t="s">
        <v>307</v>
      </c>
      <c r="L2" s="478" t="s">
        <v>462</v>
      </c>
      <c r="M2" s="480" t="s">
        <v>98</v>
      </c>
      <c r="N2" s="478" t="s">
        <v>494</v>
      </c>
    </row>
    <row r="3" spans="2:14" x14ac:dyDescent="0.2">
      <c r="B3" s="125">
        <v>2015</v>
      </c>
      <c r="C3" s="46">
        <f>SUM('15r'!D13)</f>
        <v>36658</v>
      </c>
      <c r="D3" s="46">
        <f>SUM('15r'!E13)</f>
        <v>26927</v>
      </c>
      <c r="E3" s="46">
        <f>SUM('15r'!F13)</f>
        <v>20007</v>
      </c>
      <c r="F3" s="255">
        <f>SUM('15r'!D16)</f>
        <v>127303.75</v>
      </c>
      <c r="G3" s="45">
        <v>6</v>
      </c>
      <c r="H3" s="94">
        <f t="shared" ref="H3:H12" si="0">SUM(D3/C3)*100</f>
        <v>73.454634731845715</v>
      </c>
      <c r="I3" s="94">
        <f t="shared" ref="I3:I12" si="1">SUM(E3/D3)*100</f>
        <v>74.300887584951909</v>
      </c>
      <c r="J3" s="94">
        <f t="shared" ref="J3:J13" si="2">SUM(C3)/F3*100</f>
        <v>28.795695334976383</v>
      </c>
      <c r="K3" s="479">
        <v>2015</v>
      </c>
      <c r="L3" s="482">
        <f>SUM('15r'!E13)</f>
        <v>26927</v>
      </c>
      <c r="M3" s="483">
        <f>SUM('15r'!F13)</f>
        <v>20007</v>
      </c>
      <c r="N3" s="479">
        <f t="shared" ref="N3:N8" si="3">SUM(L3)-M3</f>
        <v>6920</v>
      </c>
    </row>
    <row r="4" spans="2:14" x14ac:dyDescent="0.2">
      <c r="B4" s="125">
        <v>2016</v>
      </c>
      <c r="C4" s="46">
        <f>SUM('16r'!D13)</f>
        <v>35772</v>
      </c>
      <c r="D4" s="46">
        <f>SUM('16r'!E13)</f>
        <v>28312</v>
      </c>
      <c r="E4" s="46">
        <f>SUM('16r'!F13)</f>
        <v>22811</v>
      </c>
      <c r="F4" s="255">
        <f>SUM('16r'!D16)</f>
        <v>113103.33333333333</v>
      </c>
      <c r="G4" s="45">
        <v>6</v>
      </c>
      <c r="H4" s="94">
        <f t="shared" si="0"/>
        <v>79.145700547914572</v>
      </c>
      <c r="I4" s="94">
        <f t="shared" si="1"/>
        <v>80.570076292738051</v>
      </c>
      <c r="J4" s="94">
        <f t="shared" si="2"/>
        <v>31.627715068816126</v>
      </c>
      <c r="K4" s="479">
        <v>2016</v>
      </c>
      <c r="L4" s="482">
        <f>SUM('16r'!E13)</f>
        <v>28312</v>
      </c>
      <c r="M4" s="483">
        <f>SUM('16r'!F13)</f>
        <v>22811</v>
      </c>
      <c r="N4" s="479">
        <f t="shared" si="3"/>
        <v>5501</v>
      </c>
    </row>
    <row r="5" spans="2:14" x14ac:dyDescent="0.2">
      <c r="B5" s="125">
        <v>2017</v>
      </c>
      <c r="C5" s="46">
        <f>SUM('17r'!D13)</f>
        <v>31163</v>
      </c>
      <c r="D5" s="46">
        <f>SUM('17r'!E13)</f>
        <v>24731</v>
      </c>
      <c r="E5" s="46">
        <f>SUM('17r'!F13)</f>
        <v>21303</v>
      </c>
      <c r="F5" s="255">
        <f>SUM('17r'!D16)</f>
        <v>96546.166666666672</v>
      </c>
      <c r="G5" s="45">
        <v>6</v>
      </c>
      <c r="H5" s="94">
        <f t="shared" si="0"/>
        <v>79.36013862593461</v>
      </c>
      <c r="I5" s="94">
        <f t="shared" si="1"/>
        <v>86.138854069790952</v>
      </c>
      <c r="J5" s="94">
        <f t="shared" si="2"/>
        <v>32.277822181788679</v>
      </c>
      <c r="K5" s="479">
        <v>2017</v>
      </c>
      <c r="L5" s="482">
        <f>SUM('17r'!E13)</f>
        <v>24731</v>
      </c>
      <c r="M5" s="483">
        <f>SUM('17r'!F13)</f>
        <v>21303</v>
      </c>
      <c r="N5" s="479">
        <f t="shared" si="3"/>
        <v>3428</v>
      </c>
    </row>
    <row r="6" spans="2:14" x14ac:dyDescent="0.2">
      <c r="B6" s="125">
        <v>2018</v>
      </c>
      <c r="C6" s="46">
        <f>SUM('18r'!D13)</f>
        <v>26667</v>
      </c>
      <c r="D6" s="46">
        <f>SUM('18r'!E13)</f>
        <v>22212</v>
      </c>
      <c r="E6" s="46">
        <f>SUM('18r'!F13)</f>
        <v>19586</v>
      </c>
      <c r="F6" s="255">
        <f>SUM('18r'!D16)</f>
        <v>84875.916666666672</v>
      </c>
      <c r="G6" s="45">
        <v>6</v>
      </c>
      <c r="H6" s="94">
        <f t="shared" si="0"/>
        <v>83.293958825514679</v>
      </c>
      <c r="I6" s="94">
        <f t="shared" si="1"/>
        <v>88.177561678372058</v>
      </c>
      <c r="J6" s="94">
        <f t="shared" si="2"/>
        <v>31.418806473371419</v>
      </c>
      <c r="K6" s="479">
        <v>2018</v>
      </c>
      <c r="L6" s="482">
        <f>SUM('18r'!E13)</f>
        <v>22212</v>
      </c>
      <c r="M6" s="483">
        <f>SUM('18r'!F13)</f>
        <v>19586</v>
      </c>
      <c r="N6" s="479">
        <f t="shared" si="3"/>
        <v>2626</v>
      </c>
    </row>
    <row r="7" spans="2:14" x14ac:dyDescent="0.2">
      <c r="B7" s="125">
        <v>2019</v>
      </c>
      <c r="C7" s="46">
        <f>SUM('19r'!D13)</f>
        <v>22309</v>
      </c>
      <c r="D7" s="46">
        <f>SUM('19r'!E13)</f>
        <v>17964</v>
      </c>
      <c r="E7" s="46">
        <f>SUM('19r'!F13)</f>
        <v>16015</v>
      </c>
      <c r="F7" s="255">
        <f>SUM('19r'!D16)</f>
        <v>77343</v>
      </c>
      <c r="G7" s="45">
        <v>6</v>
      </c>
      <c r="H7" s="94">
        <f t="shared" si="0"/>
        <v>80.523555515711138</v>
      </c>
      <c r="I7" s="94">
        <f t="shared" si="1"/>
        <v>89.150523268759741</v>
      </c>
      <c r="J7" s="94">
        <f t="shared" si="2"/>
        <v>28.844239297673997</v>
      </c>
      <c r="K7" s="479">
        <v>2019</v>
      </c>
      <c r="L7" s="482">
        <f>SUM('19r'!E13)</f>
        <v>17964</v>
      </c>
      <c r="M7" s="483">
        <f>SUM('19r'!F13)</f>
        <v>16015</v>
      </c>
      <c r="N7" s="479">
        <f t="shared" si="3"/>
        <v>1949</v>
      </c>
    </row>
    <row r="8" spans="2:14" x14ac:dyDescent="0.2">
      <c r="B8" s="125">
        <v>2020</v>
      </c>
      <c r="C8" s="46">
        <f>SUM('20r'!D13)</f>
        <v>18849</v>
      </c>
      <c r="D8" s="46">
        <f>SUM('20r'!E13)</f>
        <v>15254</v>
      </c>
      <c r="E8" s="46">
        <f>SUM('20r'!F13)</f>
        <v>13499</v>
      </c>
      <c r="F8" s="255">
        <f>SUM('20r'!D16)</f>
        <v>84035.75</v>
      </c>
      <c r="G8" s="45">
        <v>6</v>
      </c>
      <c r="H8" s="94">
        <f t="shared" si="0"/>
        <v>80.927370152262725</v>
      </c>
      <c r="I8" s="94">
        <f>SUM(E8/D8)*100</f>
        <v>88.49482103054936</v>
      </c>
      <c r="J8" s="94">
        <f>SUM(C8)/F8*100</f>
        <v>22.42973972386752</v>
      </c>
      <c r="K8" s="479">
        <v>2020</v>
      </c>
      <c r="L8" s="482">
        <f>SUM('20r'!E13)</f>
        <v>15254</v>
      </c>
      <c r="M8" s="483">
        <f>SUM('20r'!F13)</f>
        <v>13499</v>
      </c>
      <c r="N8" s="479">
        <f t="shared" si="3"/>
        <v>1755</v>
      </c>
    </row>
    <row r="9" spans="2:14" x14ac:dyDescent="0.2">
      <c r="B9" s="689">
        <v>2021</v>
      </c>
      <c r="C9" s="687">
        <f>SUM('21r'!D14)</f>
        <v>22945</v>
      </c>
      <c r="D9" s="687">
        <f>SUM('21r'!E14)</f>
        <v>16308</v>
      </c>
      <c r="E9" s="687">
        <f>SUM('21r'!F14)</f>
        <v>14591</v>
      </c>
      <c r="F9" s="526">
        <f>SUM('21r'!D16)</f>
        <v>82430.333333333299</v>
      </c>
      <c r="G9" s="751">
        <v>7</v>
      </c>
      <c r="H9" s="94">
        <f>SUM(D9/C9)*100</f>
        <v>71.074308128132486</v>
      </c>
      <c r="I9" s="94">
        <f>SUM(E9/D9)*100</f>
        <v>89.471425067451563</v>
      </c>
      <c r="J9" s="94">
        <f>SUM(C9)/F9*100</f>
        <v>27.835626852574507</v>
      </c>
      <c r="K9" s="747">
        <v>2021</v>
      </c>
      <c r="L9" s="748">
        <f>SUM('21r'!E14)</f>
        <v>16308</v>
      </c>
      <c r="M9" s="748">
        <f>SUM('21r'!F14)</f>
        <v>14591</v>
      </c>
      <c r="N9" s="125">
        <f>SUM(L9)-M9</f>
        <v>1717</v>
      </c>
    </row>
    <row r="10" spans="2:14" x14ac:dyDescent="0.2">
      <c r="B10" s="125">
        <v>2022</v>
      </c>
      <c r="C10" s="46">
        <f>SUM('22r'!D13)</f>
        <v>24415</v>
      </c>
      <c r="D10" s="46">
        <f>SUM('22r'!E13)</f>
        <v>18116</v>
      </c>
      <c r="E10" s="46">
        <f>SUM('22r'!F13)</f>
        <v>15697</v>
      </c>
      <c r="F10" s="749">
        <f>SUM('22r'!D16)</f>
        <v>71578.917000000001</v>
      </c>
      <c r="G10" s="45">
        <v>6</v>
      </c>
      <c r="H10" s="94">
        <f>SUM(D10/C10)*100</f>
        <v>74.200286708990376</v>
      </c>
      <c r="I10" s="94">
        <f>SUM(E10/D10)*100</f>
        <v>86.64716272907927</v>
      </c>
      <c r="J10" s="94">
        <f>SUM(C10)/F10*100</f>
        <v>34.109205647802689</v>
      </c>
      <c r="K10" s="479">
        <v>2022</v>
      </c>
      <c r="L10" s="482">
        <f>SUM('22r'!E13)</f>
        <v>18116</v>
      </c>
      <c r="M10" s="483">
        <f>SUM('22r'!F13)</f>
        <v>15697</v>
      </c>
      <c r="N10" s="125">
        <f>SUM(L10)-M10</f>
        <v>2419</v>
      </c>
    </row>
    <row r="11" spans="2:14" x14ac:dyDescent="0.2">
      <c r="B11" s="125">
        <v>2023</v>
      </c>
      <c r="C11" s="46">
        <f>SUM('23r'!D13)</f>
        <v>20427</v>
      </c>
      <c r="D11" s="46">
        <f>SUM('23r'!E13)</f>
        <v>17387</v>
      </c>
      <c r="E11" s="46">
        <f>SUM('23r'!F13)</f>
        <v>14960</v>
      </c>
      <c r="F11" s="749">
        <f>SUM('23r'!D16)</f>
        <v>67529.833333333328</v>
      </c>
      <c r="G11" s="45">
        <v>6</v>
      </c>
      <c r="H11" s="94">
        <f t="shared" si="0"/>
        <v>85.117736329367986</v>
      </c>
      <c r="I11" s="94">
        <f t="shared" si="1"/>
        <v>86.041295220567093</v>
      </c>
      <c r="J11" s="94">
        <f t="shared" si="2"/>
        <v>30.248852976092049</v>
      </c>
      <c r="K11" s="479">
        <v>2023</v>
      </c>
      <c r="L11" s="482">
        <f>SUM('23r'!E13)</f>
        <v>17387</v>
      </c>
      <c r="M11" s="483">
        <f>SUM('23r'!F13)</f>
        <v>14960</v>
      </c>
      <c r="N11" s="46">
        <f>SUM(L11)-M11</f>
        <v>2427</v>
      </c>
    </row>
    <row r="12" spans="2:14" x14ac:dyDescent="0.2">
      <c r="B12" s="125">
        <v>2024</v>
      </c>
      <c r="C12" s="46">
        <f>SUM('24r'!D13)</f>
        <v>17066</v>
      </c>
      <c r="D12" s="46">
        <f>SUM('24r'!E13)</f>
        <v>15058</v>
      </c>
      <c r="E12" s="46">
        <f>SUM('24r'!F13)</f>
        <v>13176</v>
      </c>
      <c r="F12" s="749">
        <f>SUM('24r'!D16)</f>
        <v>66410.166666666701</v>
      </c>
      <c r="G12" s="45">
        <v>6</v>
      </c>
      <c r="H12" s="94">
        <f t="shared" si="0"/>
        <v>88.233915387319811</v>
      </c>
      <c r="I12" s="94">
        <f t="shared" si="1"/>
        <v>87.501660247044768</v>
      </c>
      <c r="J12" s="94">
        <f t="shared" si="2"/>
        <v>25.697872564692641</v>
      </c>
      <c r="K12" s="479">
        <v>2024</v>
      </c>
      <c r="L12" s="482">
        <f>SUM('24r'!E13)</f>
        <v>15058</v>
      </c>
      <c r="M12" s="483">
        <f>SUM('24r'!F13)</f>
        <v>13176</v>
      </c>
      <c r="N12" s="46">
        <f>SUM(L12)-M12</f>
        <v>1882</v>
      </c>
    </row>
    <row r="13" spans="2:14" x14ac:dyDescent="0.2">
      <c r="B13" s="125">
        <v>2025</v>
      </c>
      <c r="C13" s="46">
        <f>SUM('25r'!D13)</f>
        <v>16096</v>
      </c>
      <c r="D13" s="46">
        <f>SUM('25r'!E13)</f>
        <v>13476</v>
      </c>
      <c r="E13" s="46">
        <f>SUM('25r'!F13)</f>
        <v>11613</v>
      </c>
      <c r="F13" s="749">
        <f>SUM('25r'!D16)</f>
        <v>68930.416666666672</v>
      </c>
      <c r="G13" s="45">
        <v>6</v>
      </c>
      <c r="H13" s="94">
        <f t="shared" ref="H13" si="4">SUM(D13/C13)*100</f>
        <v>83.72266401590457</v>
      </c>
      <c r="I13" s="94">
        <f t="shared" ref="I13" si="5">SUM(E13/D13)*100</f>
        <v>86.175422974176314</v>
      </c>
      <c r="J13" s="94">
        <f t="shared" si="2"/>
        <v>23.351084729165279</v>
      </c>
      <c r="K13" s="479">
        <v>2025</v>
      </c>
      <c r="L13" s="482">
        <f>SUM('25r'!E13)</f>
        <v>13476</v>
      </c>
      <c r="M13" s="483">
        <f>SUM('25r'!F13)</f>
        <v>11613</v>
      </c>
      <c r="N13" s="46">
        <f>SUM(L13)-M13</f>
        <v>1863</v>
      </c>
    </row>
    <row r="14" spans="2:14" ht="39" customHeight="1" x14ac:dyDescent="0.2">
      <c r="B14" s="772" t="s">
        <v>313</v>
      </c>
      <c r="C14" s="772"/>
      <c r="D14" s="772"/>
      <c r="E14" s="772"/>
    </row>
    <row r="15" spans="2:14" ht="56.25" customHeight="1" x14ac:dyDescent="0.2">
      <c r="B15" s="771" t="s">
        <v>307</v>
      </c>
      <c r="C15" s="480" t="s">
        <v>308</v>
      </c>
      <c r="D15" s="480" t="s">
        <v>310</v>
      </c>
      <c r="E15" s="480" t="s">
        <v>464</v>
      </c>
    </row>
    <row r="16" spans="2:14" ht="54" customHeight="1" x14ac:dyDescent="0.2">
      <c r="B16" s="771"/>
      <c r="C16" s="481" t="s">
        <v>309</v>
      </c>
      <c r="D16" s="481" t="s">
        <v>311</v>
      </c>
      <c r="E16" s="481" t="s">
        <v>465</v>
      </c>
    </row>
    <row r="17" spans="2:5" x14ac:dyDescent="0.2">
      <c r="B17" s="479">
        <v>2015</v>
      </c>
      <c r="C17" s="482">
        <f>SUM('15r'!F13)</f>
        <v>20007</v>
      </c>
      <c r="D17" s="750">
        <v>123514</v>
      </c>
      <c r="E17" s="130">
        <f t="shared" ref="E17:E27" si="6">SUM(C17/D17)*100</f>
        <v>16.198163770908561</v>
      </c>
    </row>
    <row r="18" spans="2:5" x14ac:dyDescent="0.2">
      <c r="B18" s="479">
        <v>2016</v>
      </c>
      <c r="C18" s="482">
        <f>SUM('16r'!F13)</f>
        <v>22811</v>
      </c>
      <c r="D18" s="750">
        <v>107567</v>
      </c>
      <c r="E18" s="130">
        <f t="shared" si="6"/>
        <v>21.206317922783011</v>
      </c>
    </row>
    <row r="19" spans="2:5" x14ac:dyDescent="0.2">
      <c r="B19" s="479">
        <v>2017</v>
      </c>
      <c r="C19" s="482">
        <f>SUM('17r'!F13)</f>
        <v>21303</v>
      </c>
      <c r="D19" s="750">
        <v>90972</v>
      </c>
      <c r="E19" s="130">
        <f t="shared" si="6"/>
        <v>23.417095370003956</v>
      </c>
    </row>
    <row r="20" spans="2:5" x14ac:dyDescent="0.2">
      <c r="B20" s="479">
        <v>2018</v>
      </c>
      <c r="C20" s="482">
        <f>SUM('18r'!F13)</f>
        <v>19586</v>
      </c>
      <c r="D20" s="750">
        <v>82933</v>
      </c>
      <c r="E20" s="130">
        <f t="shared" si="6"/>
        <v>23.616654407774952</v>
      </c>
    </row>
    <row r="21" spans="2:5" x14ac:dyDescent="0.2">
      <c r="B21" s="479">
        <v>2019</v>
      </c>
      <c r="C21" s="482">
        <f>SUM('19r'!F13)</f>
        <v>16015</v>
      </c>
      <c r="D21" s="750">
        <v>75455</v>
      </c>
      <c r="E21" s="130">
        <f t="shared" si="6"/>
        <v>21.224570936319662</v>
      </c>
    </row>
    <row r="22" spans="2:5" x14ac:dyDescent="0.2">
      <c r="B22" s="479">
        <v>2020</v>
      </c>
      <c r="C22" s="482">
        <f>SUM('20r'!F13)</f>
        <v>13499</v>
      </c>
      <c r="D22" s="750">
        <v>87326</v>
      </c>
      <c r="E22" s="130">
        <f t="shared" si="6"/>
        <v>15.458168243134921</v>
      </c>
    </row>
    <row r="23" spans="2:5" x14ac:dyDescent="0.2">
      <c r="B23" s="747">
        <v>2021</v>
      </c>
      <c r="C23" s="748">
        <f>SUM('21r'!F14)</f>
        <v>14591</v>
      </c>
      <c r="D23" s="750">
        <v>77291</v>
      </c>
      <c r="E23" s="130">
        <f t="shared" si="6"/>
        <v>18.878006494934727</v>
      </c>
    </row>
    <row r="24" spans="2:5" x14ac:dyDescent="0.2">
      <c r="B24" s="479">
        <v>2022</v>
      </c>
      <c r="C24" s="482">
        <f>SUM('22r'!F13)</f>
        <v>15697</v>
      </c>
      <c r="D24" s="750">
        <v>69046</v>
      </c>
      <c r="E24" s="130">
        <f t="shared" si="6"/>
        <v>22.734119282796975</v>
      </c>
    </row>
    <row r="25" spans="2:5" x14ac:dyDescent="0.2">
      <c r="B25" s="479">
        <v>2023</v>
      </c>
      <c r="C25" s="482">
        <f>SUM('23r'!F13)</f>
        <v>14960</v>
      </c>
      <c r="D25" s="750">
        <v>67653</v>
      </c>
      <c r="E25" s="130">
        <f t="shared" si="6"/>
        <v>22.112840524440898</v>
      </c>
    </row>
    <row r="26" spans="2:5" x14ac:dyDescent="0.2">
      <c r="B26" s="479">
        <v>2024</v>
      </c>
      <c r="C26" s="482">
        <f>SUM('24r'!F13)</f>
        <v>13176</v>
      </c>
      <c r="D26" s="750">
        <v>67336</v>
      </c>
      <c r="E26" s="130">
        <f t="shared" si="6"/>
        <v>19.567541879529525</v>
      </c>
    </row>
    <row r="27" spans="2:5" ht="12.75" customHeight="1" x14ac:dyDescent="0.2">
      <c r="B27" s="479">
        <v>2025</v>
      </c>
      <c r="C27" s="482">
        <f>SUM('25r'!F13)</f>
        <v>11613</v>
      </c>
      <c r="D27" s="750">
        <v>72059</v>
      </c>
      <c r="E27" s="130">
        <f t="shared" si="6"/>
        <v>16.115960532341553</v>
      </c>
    </row>
    <row r="34" spans="8:8" x14ac:dyDescent="0.2">
      <c r="H34" s="45"/>
    </row>
  </sheetData>
  <mergeCells count="2">
    <mergeCell ref="B15:B16"/>
    <mergeCell ref="B14:E14"/>
  </mergeCells>
  <pageMargins left="0.7" right="0.7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06F9B-1B7B-43CF-9A88-F922295A27E4}">
  <sheetPr>
    <tabColor theme="3" tint="0.79998168889431442"/>
  </sheetPr>
  <dimension ref="A1:H35"/>
  <sheetViews>
    <sheetView zoomScale="90" zoomScaleNormal="90" workbookViewId="0">
      <selection activeCell="B1" sqref="B1"/>
    </sheetView>
  </sheetViews>
  <sheetFormatPr defaultRowHeight="14.25" x14ac:dyDescent="0.2"/>
  <cols>
    <col min="1" max="1" width="3.28515625" style="45" customWidth="1"/>
    <col min="2" max="2" width="16.5703125" style="44" customWidth="1"/>
    <col min="3" max="3" width="14.7109375" style="44" customWidth="1"/>
    <col min="4" max="4" width="8.42578125" style="44" customWidth="1"/>
    <col min="5" max="5" width="15" style="44" customWidth="1"/>
    <col min="6" max="6" width="8.42578125" style="44" customWidth="1"/>
    <col min="7" max="7" width="1.5703125" style="44" customWidth="1"/>
    <col min="8" max="16384" width="9.140625" style="44"/>
  </cols>
  <sheetData>
    <row r="1" spans="1:8" ht="15.75" customHeight="1" thickBot="1" x14ac:dyDescent="0.25">
      <c r="B1" s="44" t="s">
        <v>484</v>
      </c>
    </row>
    <row r="2" spans="1:8" ht="33.75" x14ac:dyDescent="0.2">
      <c r="B2" s="773" t="s">
        <v>90</v>
      </c>
      <c r="C2" s="484" t="s">
        <v>485</v>
      </c>
      <c r="D2" s="775" t="s">
        <v>67</v>
      </c>
      <c r="E2" s="484" t="s">
        <v>486</v>
      </c>
      <c r="F2" s="777" t="s">
        <v>67</v>
      </c>
      <c r="G2" s="82"/>
      <c r="H2" s="512" t="s">
        <v>93</v>
      </c>
    </row>
    <row r="3" spans="1:8" ht="15" thickBot="1" x14ac:dyDescent="0.25">
      <c r="B3" s="774"/>
      <c r="C3" s="485" t="s">
        <v>226</v>
      </c>
      <c r="D3" s="776"/>
      <c r="E3" s="485" t="s">
        <v>317</v>
      </c>
      <c r="F3" s="778"/>
      <c r="G3" s="82"/>
      <c r="H3" s="513" t="s">
        <v>92</v>
      </c>
    </row>
    <row r="4" spans="1:8" ht="16.5" customHeight="1" thickBot="1" x14ac:dyDescent="0.25">
      <c r="A4" s="45" t="s">
        <v>51</v>
      </c>
      <c r="B4" s="486" t="s">
        <v>68</v>
      </c>
      <c r="C4" s="492">
        <f>SUM(P.25!AE43)</f>
        <v>86.175422974176314</v>
      </c>
      <c r="D4" s="493" t="s">
        <v>58</v>
      </c>
      <c r="E4" s="494">
        <f>SUM(P.25!AE42)</f>
        <v>20887.82594161715</v>
      </c>
      <c r="F4" s="495" t="s">
        <v>58</v>
      </c>
      <c r="H4" s="496" t="s">
        <v>58</v>
      </c>
    </row>
    <row r="5" spans="1:8" ht="13.5" customHeight="1" x14ac:dyDescent="0.2">
      <c r="A5" s="45">
        <v>1</v>
      </c>
      <c r="B5" s="487" t="s">
        <v>69</v>
      </c>
      <c r="C5" s="497">
        <f>SUM('01'!Q35)/'01'!P35*100</f>
        <v>91.497975708502025</v>
      </c>
      <c r="D5" s="498">
        <f>RANK(C5,C5:C25,0)</f>
        <v>6</v>
      </c>
      <c r="E5" s="499">
        <f>SUM('01'!N35)/'01'!Q35</f>
        <v>20943.054247787615</v>
      </c>
      <c r="F5" s="500">
        <f>RANK(E5,E5:E25,1)</f>
        <v>11</v>
      </c>
      <c r="H5" s="501">
        <f>SUM(D5-F5)</f>
        <v>-5</v>
      </c>
    </row>
    <row r="6" spans="1:8" x14ac:dyDescent="0.2">
      <c r="A6" s="45">
        <v>2</v>
      </c>
      <c r="B6" s="488" t="s">
        <v>70</v>
      </c>
      <c r="C6" s="502">
        <f>SUM('02'!Q35)/'02'!P35*100</f>
        <v>94.778481012658233</v>
      </c>
      <c r="D6" s="503">
        <f>RANK(C6,C5:C25,0)</f>
        <v>1</v>
      </c>
      <c r="E6" s="504">
        <f>SUM('02'!N35)/'02'!Q35</f>
        <v>22725.453689482467</v>
      </c>
      <c r="F6" s="505">
        <f>RANK(E6,E5:E25,1)</f>
        <v>17</v>
      </c>
      <c r="H6" s="506">
        <f t="shared" ref="H6:H25" si="0">SUM(D6-F6)</f>
        <v>-16</v>
      </c>
    </row>
    <row r="7" spans="1:8" x14ac:dyDescent="0.2">
      <c r="A7" s="45">
        <v>3</v>
      </c>
      <c r="B7" s="488" t="s">
        <v>71</v>
      </c>
      <c r="C7" s="502">
        <f>SUM('03'!Q35)/'03'!P35*100</f>
        <v>87.272727272727266</v>
      </c>
      <c r="D7" s="503">
        <f>RANK(C7,C5:C25,0)</f>
        <v>12</v>
      </c>
      <c r="E7" s="504">
        <f>SUM('03'!N35)/'03'!Q35</f>
        <v>18513.502337962964</v>
      </c>
      <c r="F7" s="505">
        <f>RANK(E7,E5:E25,1)</f>
        <v>4</v>
      </c>
      <c r="H7" s="506">
        <f t="shared" si="0"/>
        <v>8</v>
      </c>
    </row>
    <row r="8" spans="1:8" x14ac:dyDescent="0.2">
      <c r="A8" s="45">
        <v>4</v>
      </c>
      <c r="B8" s="488" t="s">
        <v>72</v>
      </c>
      <c r="C8" s="502">
        <f>SUM('04'!Q35)/'04'!P35*100</f>
        <v>94.730813287514309</v>
      </c>
      <c r="D8" s="503">
        <f>RANK(C8,C5:C25,0)</f>
        <v>2</v>
      </c>
      <c r="E8" s="504">
        <f>SUM('04'!N35)/'04'!Q35</f>
        <v>19018.521124546551</v>
      </c>
      <c r="F8" s="505">
        <f>RANK(E8,E5:E25,1)</f>
        <v>7</v>
      </c>
      <c r="H8" s="506">
        <f t="shared" si="0"/>
        <v>-5</v>
      </c>
    </row>
    <row r="9" spans="1:8" x14ac:dyDescent="0.2">
      <c r="A9" s="45">
        <v>5</v>
      </c>
      <c r="B9" s="488" t="s">
        <v>73</v>
      </c>
      <c r="C9" s="502">
        <f>SUM('05'!Q35)/'05'!P35*100</f>
        <v>88.067444876783398</v>
      </c>
      <c r="D9" s="503">
        <f>RANK(C9,C5:C25,0)</f>
        <v>11</v>
      </c>
      <c r="E9" s="504">
        <f>SUM('05'!N35)/'05'!Q35</f>
        <v>24836.440427098674</v>
      </c>
      <c r="F9" s="505">
        <f>RANK(E9,E5:E25,1)</f>
        <v>20</v>
      </c>
      <c r="H9" s="506">
        <f t="shared" si="0"/>
        <v>-9</v>
      </c>
    </row>
    <row r="10" spans="1:8" x14ac:dyDescent="0.2">
      <c r="A10" s="45">
        <v>6</v>
      </c>
      <c r="B10" s="488" t="s">
        <v>74</v>
      </c>
      <c r="C10" s="502">
        <f>SUM('06'!Q35)/'06'!P35*100</f>
        <v>87.10526315789474</v>
      </c>
      <c r="D10" s="503">
        <f>RANK(C10,C5:C25,0)</f>
        <v>13</v>
      </c>
      <c r="E10" s="504">
        <f>SUM('06'!N35)/'06'!Q35</f>
        <v>22007.460755287007</v>
      </c>
      <c r="F10" s="505">
        <f>RANK(E10,E5:E25,1)</f>
        <v>15</v>
      </c>
      <c r="H10" s="506">
        <f t="shared" si="0"/>
        <v>-2</v>
      </c>
    </row>
    <row r="11" spans="1:8" x14ac:dyDescent="0.2">
      <c r="A11" s="45">
        <v>7</v>
      </c>
      <c r="B11" s="527" t="s">
        <v>75</v>
      </c>
      <c r="C11" s="502">
        <f>SUM('07'!Q35)/'07'!P35*100</f>
        <v>89.634146341463421</v>
      </c>
      <c r="D11" s="503">
        <f>RANK(C11,C5:C25,0)</f>
        <v>9</v>
      </c>
      <c r="E11" s="504">
        <f>SUM('07'!N35)/'07'!Q35</f>
        <v>22002.52283446712</v>
      </c>
      <c r="F11" s="505">
        <f>RANK(E11,E5:E25,1)</f>
        <v>14</v>
      </c>
      <c r="H11" s="506">
        <f t="shared" si="0"/>
        <v>-5</v>
      </c>
    </row>
    <row r="12" spans="1:8" x14ac:dyDescent="0.2">
      <c r="A12" s="45">
        <v>8</v>
      </c>
      <c r="B12" s="488" t="s">
        <v>88</v>
      </c>
      <c r="C12" s="502">
        <f>SUM('21'!Q35)/'21'!P35*100</f>
        <v>90.492957746478879</v>
      </c>
      <c r="D12" s="503">
        <f>RANK(C12,C5:C25,0)</f>
        <v>7</v>
      </c>
      <c r="E12" s="504">
        <f>SUM('21'!N35)/'21'!Q35</f>
        <v>25216.480311284049</v>
      </c>
      <c r="F12" s="505">
        <f>RANK(E12,E5:E25,1)</f>
        <v>21</v>
      </c>
      <c r="H12" s="506">
        <f t="shared" si="0"/>
        <v>-14</v>
      </c>
    </row>
    <row r="13" spans="1:8" x14ac:dyDescent="0.2">
      <c r="A13" s="45">
        <v>9</v>
      </c>
      <c r="B13" s="488" t="s">
        <v>76</v>
      </c>
      <c r="C13" s="502">
        <f>SUM('08'!Q35)/'08'!P35*100</f>
        <v>80.970149253731336</v>
      </c>
      <c r="D13" s="503">
        <f>RANK(C13,C5:C25,0)</f>
        <v>19</v>
      </c>
      <c r="E13" s="504">
        <f>SUM('08'!N35)/'08'!Q35</f>
        <v>17147.366912442394</v>
      </c>
      <c r="F13" s="505">
        <f>RANK(E13,E5:E25,1)</f>
        <v>2</v>
      </c>
      <c r="H13" s="506">
        <f t="shared" si="0"/>
        <v>17</v>
      </c>
    </row>
    <row r="14" spans="1:8" x14ac:dyDescent="0.2">
      <c r="A14" s="45">
        <v>10</v>
      </c>
      <c r="B14" s="488" t="s">
        <v>77</v>
      </c>
      <c r="C14" s="502">
        <f>SUM('09'!Q35)/'09'!P35*100</f>
        <v>91.515151515151516</v>
      </c>
      <c r="D14" s="503">
        <f>RANK(C14,C5:C25,0)</f>
        <v>5</v>
      </c>
      <c r="E14" s="504">
        <f>SUM('09'!N35)/'09'!Q35</f>
        <v>14231.11774834437</v>
      </c>
      <c r="F14" s="505">
        <f>RANK(E14,E5:E25,1)</f>
        <v>1</v>
      </c>
      <c r="H14" s="506">
        <f t="shared" si="0"/>
        <v>4</v>
      </c>
    </row>
    <row r="15" spans="1:8" x14ac:dyDescent="0.2">
      <c r="A15" s="45">
        <v>11</v>
      </c>
      <c r="B15" s="488" t="s">
        <v>78</v>
      </c>
      <c r="C15" s="502">
        <f>SUM('10'!Q35)/'10'!P35*100</f>
        <v>85.321100917431195</v>
      </c>
      <c r="D15" s="503">
        <f>RANK(C15,C5:C25,0)</f>
        <v>15</v>
      </c>
      <c r="E15" s="504">
        <f>SUM('10'!N35)/'10'!Q35</f>
        <v>21263.528215053764</v>
      </c>
      <c r="F15" s="505">
        <f>RANK(E15,E5:E25,1)</f>
        <v>12</v>
      </c>
      <c r="H15" s="506">
        <f t="shared" si="0"/>
        <v>3</v>
      </c>
    </row>
    <row r="16" spans="1:8" x14ac:dyDescent="0.2">
      <c r="A16" s="45">
        <v>12</v>
      </c>
      <c r="B16" s="488" t="s">
        <v>79</v>
      </c>
      <c r="C16" s="502">
        <f>SUM('11'!Q35)/'11'!P35*100</f>
        <v>83.127572016460903</v>
      </c>
      <c r="D16" s="503">
        <f>RANK(C16,C5:C25,0)</f>
        <v>17</v>
      </c>
      <c r="E16" s="504">
        <f>SUM('11'!N35)/'11'!Q35</f>
        <v>18822.916435643565</v>
      </c>
      <c r="F16" s="505">
        <f>RANK(E16,E5:E25,1)</f>
        <v>5</v>
      </c>
      <c r="H16" s="506">
        <f t="shared" si="0"/>
        <v>12</v>
      </c>
    </row>
    <row r="17" spans="1:8" x14ac:dyDescent="0.2">
      <c r="A17" s="45">
        <v>13</v>
      </c>
      <c r="B17" s="488" t="s">
        <v>80</v>
      </c>
      <c r="C17" s="502">
        <f>SUM('12'!Q35)/'12'!P35*100</f>
        <v>77.710843373493972</v>
      </c>
      <c r="D17" s="503">
        <f>RANK(C17,C5:C25,0)</f>
        <v>20</v>
      </c>
      <c r="E17" s="504">
        <f>SUM('12'!N35)/'12'!Q35</f>
        <v>21723.254399224807</v>
      </c>
      <c r="F17" s="505">
        <f>RANK(E17,E5:E25,1)</f>
        <v>13</v>
      </c>
      <c r="H17" s="506">
        <f t="shared" si="0"/>
        <v>7</v>
      </c>
    </row>
    <row r="18" spans="1:8" x14ac:dyDescent="0.2">
      <c r="A18" s="45">
        <v>14</v>
      </c>
      <c r="B18" s="527" t="s">
        <v>91</v>
      </c>
      <c r="C18" s="502">
        <f>SUM('62'!Q35)/'62'!P35*100</f>
        <v>93.708165997322624</v>
      </c>
      <c r="D18" s="503">
        <f>RANK(C18,C5:C25,0)</f>
        <v>3</v>
      </c>
      <c r="E18" s="504">
        <f>SUM('62'!N35)/'62'!Q35</f>
        <v>24060.118714285716</v>
      </c>
      <c r="F18" s="505">
        <f>RANK(E18,E5:E25,1)</f>
        <v>19</v>
      </c>
      <c r="H18" s="506">
        <f t="shared" si="0"/>
        <v>-16</v>
      </c>
    </row>
    <row r="19" spans="1:8" x14ac:dyDescent="0.2">
      <c r="A19" s="45">
        <v>15</v>
      </c>
      <c r="B19" s="488" t="s">
        <v>81</v>
      </c>
      <c r="C19" s="502">
        <f>SUM('14'!Q35)/'14'!P35*100</f>
        <v>82.079343365253081</v>
      </c>
      <c r="D19" s="503">
        <f>RANK(C19,C5:C25,0)</f>
        <v>18</v>
      </c>
      <c r="E19" s="504">
        <f>SUM('14'!N35)/'14'!Q35</f>
        <v>23803.588483333337</v>
      </c>
      <c r="F19" s="505">
        <f>RANK(E19,E5:E25,1)</f>
        <v>18</v>
      </c>
      <c r="H19" s="506">
        <f t="shared" si="0"/>
        <v>0</v>
      </c>
    </row>
    <row r="20" spans="1:8" x14ac:dyDescent="0.2">
      <c r="A20" s="45">
        <v>16</v>
      </c>
      <c r="B20" s="488" t="s">
        <v>82</v>
      </c>
      <c r="C20" s="502">
        <f>SUM('15'!Q35)/'15'!P35*100</f>
        <v>83.156028368794324</v>
      </c>
      <c r="D20" s="503">
        <f>RANK(C20,C5:C25,0)</f>
        <v>16</v>
      </c>
      <c r="E20" s="504">
        <f>SUM('15'!N35)/'15'!Q35</f>
        <v>20264.876588486142</v>
      </c>
      <c r="F20" s="505">
        <f>RANK(E20,E5:E25,1)</f>
        <v>9</v>
      </c>
      <c r="H20" s="506">
        <f t="shared" si="0"/>
        <v>7</v>
      </c>
    </row>
    <row r="21" spans="1:8" x14ac:dyDescent="0.2">
      <c r="A21" s="45">
        <v>17</v>
      </c>
      <c r="B21" s="527" t="s">
        <v>83</v>
      </c>
      <c r="C21" s="502">
        <f>SUM('63'!Q35)/'63'!P35*100</f>
        <v>76.305220883534147</v>
      </c>
      <c r="D21" s="503">
        <f>RANK(C21,C5:C25,0)</f>
        <v>21</v>
      </c>
      <c r="E21" s="504">
        <f>SUM('63'!N35)/'63'!Q35</f>
        <v>22302.139962406014</v>
      </c>
      <c r="F21" s="505">
        <f>RANK(E21,E5:E25,1)</f>
        <v>16</v>
      </c>
      <c r="H21" s="506">
        <f t="shared" si="0"/>
        <v>5</v>
      </c>
    </row>
    <row r="22" spans="1:8" x14ac:dyDescent="0.2">
      <c r="A22" s="45">
        <v>18</v>
      </c>
      <c r="B22" s="488" t="s">
        <v>84</v>
      </c>
      <c r="C22" s="502">
        <f>SUM('17'!Q35)/'17'!P35*100</f>
        <v>85.714285714285708</v>
      </c>
      <c r="D22" s="503">
        <f>RANK(C22,C5:C25,0)</f>
        <v>14</v>
      </c>
      <c r="E22" s="504">
        <f>SUM('17'!N35)/'17'!Q35</f>
        <v>20105.453209876541</v>
      </c>
      <c r="F22" s="505">
        <f>RANK(E22,E5:E25,1)</f>
        <v>8</v>
      </c>
      <c r="H22" s="506">
        <f t="shared" si="0"/>
        <v>6</v>
      </c>
    </row>
    <row r="23" spans="1:8" ht="15" customHeight="1" x14ac:dyDescent="0.2">
      <c r="A23" s="45">
        <v>19</v>
      </c>
      <c r="B23" s="488" t="s">
        <v>85</v>
      </c>
      <c r="C23" s="502">
        <f>SUM('18'!Q35)/'18'!P35*100</f>
        <v>88.888888888888886</v>
      </c>
      <c r="D23" s="503">
        <f>RANK(C23,C5:C25,0)</f>
        <v>10</v>
      </c>
      <c r="E23" s="504">
        <f>SUM('18'!N35)/'18'!Q35</f>
        <v>18856.833210784313</v>
      </c>
      <c r="F23" s="505">
        <f>RANK(E23,E5:E25,1)</f>
        <v>6</v>
      </c>
      <c r="H23" s="506">
        <f t="shared" si="0"/>
        <v>4</v>
      </c>
    </row>
    <row r="24" spans="1:8" x14ac:dyDescent="0.2">
      <c r="A24" s="45">
        <v>20</v>
      </c>
      <c r="B24" s="488" t="s">
        <v>86</v>
      </c>
      <c r="C24" s="502">
        <f>SUM('19'!Q35)/'19'!P35*100</f>
        <v>89.835164835164832</v>
      </c>
      <c r="D24" s="503">
        <f>RANK(C24,C5:C25,0)</f>
        <v>8</v>
      </c>
      <c r="E24" s="504">
        <f>SUM('19'!N35)/'19'!Q35</f>
        <v>20779.049571865442</v>
      </c>
      <c r="F24" s="505">
        <f>RANK(E24,E5:E25,1)</f>
        <v>10</v>
      </c>
      <c r="H24" s="506">
        <f t="shared" si="0"/>
        <v>-2</v>
      </c>
    </row>
    <row r="25" spans="1:8" ht="15" thickBot="1" x14ac:dyDescent="0.25">
      <c r="A25" s="45">
        <v>21</v>
      </c>
      <c r="B25" s="528" t="s">
        <v>87</v>
      </c>
      <c r="C25" s="507">
        <f>SUM('20'!Q35)/'20'!P35*100</f>
        <v>91.825095057034218</v>
      </c>
      <c r="D25" s="508">
        <f>RANK(C25,C5:C25,0)</f>
        <v>4</v>
      </c>
      <c r="E25" s="509">
        <f>SUM('20'!N35)/'20'!Q35</f>
        <v>18030.288923395441</v>
      </c>
      <c r="F25" s="510">
        <f>RANK(E25,E5:E25,1)</f>
        <v>3</v>
      </c>
      <c r="H25" s="511">
        <f t="shared" si="0"/>
        <v>1</v>
      </c>
    </row>
    <row r="26" spans="1:8" x14ac:dyDescent="0.2">
      <c r="C26" s="514">
        <f>('z25'!G38/'z25'!F38)*100</f>
        <v>86.175422974176314</v>
      </c>
      <c r="D26" s="205"/>
      <c r="E26" s="514">
        <f>('25r'!J13/'25r'!F13)</f>
        <v>20887.82594161715</v>
      </c>
    </row>
    <row r="27" spans="1:8" x14ac:dyDescent="0.2">
      <c r="C27" s="490">
        <f>SUM('01'!Q35,'02'!Q35,'03'!Q35,'04'!Q35,'05'!Q35,'06'!Q35,'07'!Q35,'08'!Q35,'09'!Q35,'10'!Q35,'11'!Q35,'12'!Q35,'14'!Q35,'15'!Q35,'17'!Q35,'18'!Q35,'19'!Q35,'20'!Q35,'21'!Q35,'62'!Q35,'63'!Q35)</f>
        <v>11613</v>
      </c>
      <c r="D27" s="205"/>
      <c r="E27" s="490">
        <f>SUM('01'!Q35,'02'!Q35,'03'!Q35,'04'!Q35,'05'!Q35,'06'!Q35,'07'!Q35,'08'!Q35,'09'!Q35,'10'!Q35,'11'!Q35,'12'!Q35,'14'!Q35,'15'!Q35,'17'!Q35,'18'!Q35,'19'!Q35,'20'!Q35,'21'!Q35,'62'!Q35,'63'!Q35)</f>
        <v>11613</v>
      </c>
    </row>
    <row r="28" spans="1:8" x14ac:dyDescent="0.2">
      <c r="C28" s="490">
        <f>SUM('01'!P35,'02'!P35,'03'!P35,'04'!P35,'05'!P35,'06'!P35,'07'!P35,'08'!P35,'09'!P35,'10'!P35,'11'!P35,'12'!P35,'14'!P35,'15'!P35,'17'!P35,'18'!P35,'19'!P35,'20'!P35,'21'!P35,'62'!P35,'63'!P35)</f>
        <v>13476</v>
      </c>
      <c r="D28" s="205"/>
      <c r="E28" s="515">
        <f>SUM('01'!N35,'02'!N35,'03'!N35,'04'!N35,'05'!N35,'06'!N35,'07'!N35,'08'!N35,'09'!N35,'10'!N35,'11'!N35,'12'!N35,'14'!N35,'15'!N35,'17'!N35,'18'!N35,'19'!N35,'20'!N35,'21'!N35,'62'!N35,'63'!N35)</f>
        <v>242570322.65999997</v>
      </c>
    </row>
    <row r="29" spans="1:8" x14ac:dyDescent="0.2">
      <c r="C29" s="754">
        <f>SUM(C27/C28)*100</f>
        <v>86.175422974176314</v>
      </c>
      <c r="D29" s="205"/>
      <c r="E29" s="489">
        <f>SUM(E28)/E27</f>
        <v>20887.82594161715</v>
      </c>
    </row>
    <row r="30" spans="1:8" ht="15" thickBot="1" x14ac:dyDescent="0.25">
      <c r="C30" s="755" t="s">
        <v>327</v>
      </c>
      <c r="D30" s="205"/>
      <c r="E30" s="755" t="s">
        <v>327</v>
      </c>
    </row>
    <row r="31" spans="1:8" x14ac:dyDescent="0.2">
      <c r="C31" s="516">
        <f>('z25'!G40/'z25'!F40)*100</f>
        <v>85.962836662259036</v>
      </c>
      <c r="D31" s="205"/>
      <c r="E31" s="516">
        <f>SUM('25r'!J14)/'25r'!F14</f>
        <v>20408.839881800512</v>
      </c>
    </row>
    <row r="32" spans="1:8" x14ac:dyDescent="0.2">
      <c r="C32" s="490">
        <f>SUM('01'!Q37,'02'!Q37,'03'!Q37,'04'!Q37,'05'!Q37,'06'!Q37,'07'!Q37,'08'!Q37,'09'!Q37,'10'!Q37,'11'!Q37,'12'!Q37,'14'!Q37,'15'!Q37,'17'!Q37,'18'!Q37,'19'!Q37,'20'!Q37,'21'!Q37,'62'!Q37,'63'!Q37)</f>
        <v>12352</v>
      </c>
      <c r="D32" s="205"/>
      <c r="E32" s="490">
        <f>SUM('01'!Q37,'02'!Q37,'03'!Q37,'04'!Q37,'05'!Q37,'06'!Q37,'07'!Q37,'08'!Q37,'09'!Q37,'10'!Q37,'11'!Q37,'12'!Q37,'14'!Q37,'15'!Q37,'17'!Q37,'18'!Q37,'19'!Q37,'20'!Q37,'21'!Q37,'62'!Q37,'63'!Q37)</f>
        <v>12352</v>
      </c>
    </row>
    <row r="33" spans="3:5" x14ac:dyDescent="0.2">
      <c r="C33" s="490">
        <f>SUM('01'!P37,'02'!P37,'03'!P37,'04'!P37,'05'!P37,'06'!P37,'07'!P37,'08'!P37,'09'!P37,'10'!P37,'11'!P37,'12'!P37,'14'!P37,'15'!P37,'17'!P37,'18'!P37,'19'!P37,'20'!P37,'21'!P37,'62'!P37,'63'!P37)</f>
        <v>14369</v>
      </c>
      <c r="D33" s="205"/>
      <c r="E33" s="515">
        <f>SUM('01'!N37,'02'!N37,'03'!N37,'04'!N37,'05'!N37,'06'!N37,'07'!N37,'08'!N37,'09'!N37,'10'!N37,'11'!N37,'12'!N37,'14'!N37,'15'!N37,'17'!N37,'18'!N37,'19'!N37,'20'!N37,'21'!N37,'62'!N37,'63'!N37)</f>
        <v>252089990.21999997</v>
      </c>
    </row>
    <row r="34" spans="3:5" x14ac:dyDescent="0.2">
      <c r="C34" s="491">
        <f>SUM(C32/C33)*100</f>
        <v>85.962836662259036</v>
      </c>
      <c r="D34" s="205"/>
      <c r="E34" s="491">
        <f>SUM(E33)/E32</f>
        <v>20408.839881800515</v>
      </c>
    </row>
    <row r="35" spans="3:5" ht="15" thickBot="1" x14ac:dyDescent="0.25">
      <c r="C35" s="753" t="s">
        <v>328</v>
      </c>
      <c r="D35" s="205"/>
      <c r="E35" s="752" t="s">
        <v>326</v>
      </c>
    </row>
  </sheetData>
  <mergeCells count="3">
    <mergeCell ref="B2:B3"/>
    <mergeCell ref="D2:D3"/>
    <mergeCell ref="F2:F3"/>
  </mergeCells>
  <pageMargins left="0.7" right="0.7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48949-FBF7-436B-9784-881A4BAF3593}">
  <sheetPr>
    <tabColor theme="0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2" width="13.42578125" style="8" customWidth="1"/>
    <col min="3" max="3" width="8.28515625" style="8" customWidth="1"/>
    <col min="4" max="4" width="9.140625" style="8"/>
    <col min="5" max="5" width="11" style="8" customWidth="1"/>
    <col min="6" max="6" width="10.5703125" style="8" customWidth="1"/>
    <col min="7" max="7" width="10" style="8" customWidth="1"/>
    <col min="8" max="9" width="10.85546875" style="8" customWidth="1"/>
    <col min="10" max="10" width="11.5703125" style="5" customWidth="1"/>
    <col min="11" max="11" width="7.85546875" style="5" customWidth="1"/>
    <col min="12" max="12" width="14.42578125" style="5" customWidth="1"/>
    <col min="13" max="13" width="11.5703125" style="8" customWidth="1"/>
    <col min="14" max="16384" width="9.140625" style="8"/>
  </cols>
  <sheetData>
    <row r="1" spans="1:13" x14ac:dyDescent="0.25">
      <c r="A1" s="8" t="s">
        <v>148</v>
      </c>
      <c r="B1" s="471">
        <v>2025</v>
      </c>
    </row>
    <row r="2" spans="1:13" x14ac:dyDescent="0.25">
      <c r="A2" s="8" t="s">
        <v>298</v>
      </c>
    </row>
    <row r="3" spans="1:13" x14ac:dyDescent="0.25">
      <c r="A3" s="294">
        <f>SUM(P.!K26)</f>
        <v>0</v>
      </c>
      <c r="B3" s="295" t="s">
        <v>95</v>
      </c>
      <c r="C3" s="294" t="s">
        <v>127</v>
      </c>
      <c r="D3" s="463" t="s">
        <v>126</v>
      </c>
      <c r="E3" s="294" t="s">
        <v>140</v>
      </c>
      <c r="F3" s="294" t="s">
        <v>130</v>
      </c>
      <c r="G3" s="294" t="s">
        <v>141</v>
      </c>
      <c r="H3" s="294" t="s">
        <v>139</v>
      </c>
      <c r="I3" s="294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296">
        <f>SUM(P.25!U27)</f>
        <v>87.628865979381445</v>
      </c>
      <c r="D4" s="1">
        <f>SUM(P.25!V27)</f>
        <v>53.846153846153847</v>
      </c>
      <c r="E4" s="1">
        <f>SUM(P.25!W27)</f>
        <v>96.226415094339629</v>
      </c>
      <c r="F4" s="1">
        <f>SUMIF(P.25!X27,"&gt;1",(P.25!X27))</f>
        <v>100</v>
      </c>
      <c r="G4" s="1">
        <f>SUMIF(P.25!Y27,"&gt;1",(P.25!Y27))</f>
        <v>97.560975609756099</v>
      </c>
      <c r="H4" s="1">
        <f>SUMIF(P.25!Z27,"&gt;1",(P.25!Z27))</f>
        <v>100</v>
      </c>
      <c r="I4" s="1">
        <f>SUMIF(P.25!AA27,"&gt;1",(P.25!AA27))</f>
        <v>76.923076923076934</v>
      </c>
      <c r="J4" s="2">
        <v>1801</v>
      </c>
      <c r="K4" s="12">
        <f>RANK(C4,$C$4:$C$25,1)+COUNTIF($C$4:C4,C4)-1</f>
        <v>17</v>
      </c>
      <c r="L4" s="2" t="str">
        <f>INDEX(B4:I25,MATCH(1,K4:K25,0),1)</f>
        <v>Nisko</v>
      </c>
      <c r="M4" s="1">
        <f>INDEX(B4:I25,MATCH(1,K4:K25,0),2)</f>
        <v>67.164179104477611</v>
      </c>
    </row>
    <row r="5" spans="1:13" x14ac:dyDescent="0.25">
      <c r="A5" s="9">
        <v>2</v>
      </c>
      <c r="B5" s="2" t="s">
        <v>70</v>
      </c>
      <c r="C5" s="296">
        <f>SUM(P.25!U28)</f>
        <v>88.135593220338976</v>
      </c>
      <c r="D5" s="1">
        <f>SUM(P.25!V28)</f>
        <v>94.444444444444443</v>
      </c>
      <c r="E5" s="1">
        <f>SUM(P.25!W28)</f>
        <v>98.550724637681171</v>
      </c>
      <c r="F5" s="1">
        <f>SUMIF(P.25!X28,"&gt;1",(P.25!X28))</f>
        <v>100</v>
      </c>
      <c r="G5" s="1">
        <f>SUM(P.25!Y28)</f>
        <v>99.242424242424249</v>
      </c>
      <c r="H5" s="1">
        <f>SUM(P.25!Z28)</f>
        <v>97.916666666666657</v>
      </c>
      <c r="I5" s="1">
        <f>SUM(P.25!AA28)</f>
        <v>89.830508474576277</v>
      </c>
      <c r="J5" s="2">
        <v>1802</v>
      </c>
      <c r="K5" s="12">
        <f>RANK(C5,$C$4:$C$25,1)+COUNTIF($C$4:C5,C5)-1</f>
        <v>19</v>
      </c>
      <c r="L5" s="11" t="str">
        <f>INDEX(B4:I25,MATCH(2,K4:K25,0),1)</f>
        <v>Dębica</v>
      </c>
      <c r="M5" s="1">
        <f>INDEX(B4:I25,MATCH(2,K4:K25,0),2)</f>
        <v>67.5</v>
      </c>
    </row>
    <row r="6" spans="1:13" x14ac:dyDescent="0.25">
      <c r="A6" s="9">
        <v>3</v>
      </c>
      <c r="B6" s="2" t="s">
        <v>71</v>
      </c>
      <c r="C6" s="296">
        <f>SUM(P.25!U29)</f>
        <v>67.5</v>
      </c>
      <c r="D6" s="1">
        <f>SUM(P.25!V29)</f>
        <v>66.666666666666657</v>
      </c>
      <c r="E6" s="1">
        <f>SUM(P.25!W29)</f>
        <v>97.354497354497354</v>
      </c>
      <c r="F6" s="1">
        <f>SUMIF(P.25!X29,"&gt;1",(P.25!X29))</f>
        <v>100</v>
      </c>
      <c r="G6" s="1">
        <f>SUM(P.25!Y29)</f>
        <v>100</v>
      </c>
      <c r="H6" s="1">
        <f>SUM(P.25!Z29)</f>
        <v>100</v>
      </c>
      <c r="I6" s="1">
        <f>SUM(P.25!AA29)</f>
        <v>93.548387096774192</v>
      </c>
      <c r="J6" s="2">
        <v>1803</v>
      </c>
      <c r="K6" s="12">
        <f>RANK(C6,$C$4:$C$25,1)+COUNTIF($C$4:C6,C6)-1</f>
        <v>2</v>
      </c>
      <c r="L6" s="11" t="str">
        <f>INDEX(B4:I25,MATCH(3,K4:K25,0),1)</f>
        <v>Łańcut</v>
      </c>
      <c r="M6" s="1">
        <f>INDEX(B4:I25,MATCH(3,K4:K25,0),2)</f>
        <v>75.352112676056336</v>
      </c>
    </row>
    <row r="7" spans="1:13" x14ac:dyDescent="0.25">
      <c r="A7" s="9">
        <v>4</v>
      </c>
      <c r="B7" s="2" t="s">
        <v>72</v>
      </c>
      <c r="C7" s="296">
        <f>SUM(P.25!U30)</f>
        <v>88.549618320610691</v>
      </c>
      <c r="D7" s="1">
        <f>SUM(P.25!V30)</f>
        <v>72.727272727272734</v>
      </c>
      <c r="E7" s="1">
        <f>SUM(P.25!W30)</f>
        <v>98.425196850393704</v>
      </c>
      <c r="F7" s="1">
        <f>SUMIF(P.25!X30,"&gt;1",(P.25!X30))</f>
        <v>98.290598290598282</v>
      </c>
      <c r="G7" s="1">
        <f>SUM(P.25!Y30)</f>
        <v>100</v>
      </c>
      <c r="H7" s="1">
        <f>SUM(P.25!Z30)</f>
        <v>99.193548387096769</v>
      </c>
      <c r="I7" s="1">
        <f>SUM(P.25!AA30)</f>
        <v>80.645161290322577</v>
      </c>
      <c r="J7" s="2">
        <v>1804</v>
      </c>
      <c r="K7" s="12">
        <f>RANK(C7,$C$4:$C$25,1)+COUNTIF($C$4:C7,C7)-1</f>
        <v>21</v>
      </c>
      <c r="L7" s="11" t="str">
        <f>INDEX(B4:I25,MATCH(4,K4:K25,0),1)</f>
        <v>Przeworsk</v>
      </c>
      <c r="M7" s="1">
        <f>INDEX(B4:I25,MATCH(4,K4:K25,0),2)</f>
        <v>77.5</v>
      </c>
    </row>
    <row r="8" spans="1:13" x14ac:dyDescent="0.25">
      <c r="A8" s="9">
        <v>5</v>
      </c>
      <c r="B8" s="2" t="s">
        <v>73</v>
      </c>
      <c r="C8" s="296">
        <f>SUM(P.25!U31)</f>
        <v>87.793427230046944</v>
      </c>
      <c r="D8" s="1">
        <f>SUM(P.25!V31)</f>
        <v>40.54054054054054</v>
      </c>
      <c r="E8" s="1">
        <f>SUM(P.25!W31)</f>
        <v>92.592592592592595</v>
      </c>
      <c r="F8" s="1">
        <f>SUMIF(P.25!X31,"&gt;1",(P.25!X31))</f>
        <v>95.3125</v>
      </c>
      <c r="G8" s="1">
        <f>SUM(P.25!Y31)</f>
        <v>97.247706422018354</v>
      </c>
      <c r="H8" s="1">
        <f>SUM(P.25!Z31)</f>
        <v>86.021505376344081</v>
      </c>
      <c r="I8" s="1">
        <f>SUM(P.25!AA31)</f>
        <v>84.090909090909093</v>
      </c>
      <c r="J8" s="2">
        <v>1805</v>
      </c>
      <c r="K8" s="12">
        <f>RANK(C8,$C$4:$C$25,1)+COUNTIF($C$4:C8,C8)-1</f>
        <v>18</v>
      </c>
      <c r="L8" s="11" t="str">
        <f>INDEX(B4:I25,MATCH(5,K4:K25,0),1)</f>
        <v>Mielec</v>
      </c>
      <c r="M8" s="1">
        <f>INDEX(B4:I25,MATCH(5,K4:K25,0),2)</f>
        <v>78.542510121457482</v>
      </c>
    </row>
    <row r="9" spans="1:13" x14ac:dyDescent="0.25">
      <c r="A9" s="9">
        <v>6</v>
      </c>
      <c r="B9" s="2" t="s">
        <v>74</v>
      </c>
      <c r="C9" s="296">
        <f>SUM(P.25!U32)</f>
        <v>87.387387387387378</v>
      </c>
      <c r="D9" s="1">
        <f>SUM(P.25!V32)</f>
        <v>40</v>
      </c>
      <c r="E9" s="1">
        <f>SUM(P.25!W32)</f>
        <v>96.774193548387103</v>
      </c>
      <c r="F9" s="1">
        <f>SUMIF(P.25!X32,"&gt;1",(P.25!X32))</f>
        <v>94.117647058823522</v>
      </c>
      <c r="G9" s="1">
        <f>SUM(P.25!Y32)</f>
        <v>100</v>
      </c>
      <c r="H9" s="1">
        <f>SUM(P.25!Z32)</f>
        <v>98.591549295774655</v>
      </c>
      <c r="I9" s="562">
        <f>SUMIF(P.25!AA32,"&gt;1",(P.25!AA32))</f>
        <v>0</v>
      </c>
      <c r="J9" s="2">
        <v>1806</v>
      </c>
      <c r="K9" s="12">
        <f>RANK(C9,$C$4:$C$25,1)+COUNTIF($C$4:C9,C9)-1</f>
        <v>16</v>
      </c>
      <c r="L9" s="11" t="str">
        <f>INDEX(B4:I25,MATCH(6,K4:K25,0),1)</f>
        <v>Rzeszów</v>
      </c>
      <c r="M9" s="1">
        <f>INDEX(B4:I25,MATCH(6,K4:K25,0),2)</f>
        <v>79.514824797843659</v>
      </c>
    </row>
    <row r="10" spans="1:13" x14ac:dyDescent="0.25">
      <c r="A10" s="299">
        <v>7</v>
      </c>
      <c r="B10" s="298" t="s">
        <v>75</v>
      </c>
      <c r="C10" s="297">
        <f>SUM(P.25!U33)</f>
        <v>86.666666666666671</v>
      </c>
      <c r="D10" s="95">
        <f>SUM(P.25!V33)</f>
        <v>43.75</v>
      </c>
      <c r="E10" s="95">
        <f>SUM(P.25!W33)</f>
        <v>100</v>
      </c>
      <c r="F10" s="95">
        <f>SUMIF(P.25!X33,"&gt;1",(P.25!X33))</f>
        <v>100</v>
      </c>
      <c r="G10" s="95">
        <f>SUM(P.25!Y33)</f>
        <v>100</v>
      </c>
      <c r="H10" s="95">
        <f>SUM(P.25!Z33)</f>
        <v>83.15789473684211</v>
      </c>
      <c r="I10" s="95">
        <f>SUM(P.25!AA33)</f>
        <v>97.058823529411768</v>
      </c>
      <c r="J10" s="298" t="s">
        <v>134</v>
      </c>
      <c r="K10" s="12">
        <f>RANK(C10,$C$4:$C$25,1)+COUNTIF($C$4:C10,C10)-1</f>
        <v>15</v>
      </c>
      <c r="L10" s="11" t="str">
        <f>INDEX(B4:I25,MATCH(7,K4:K25,0),1)</f>
        <v>Sanok</v>
      </c>
      <c r="M10" s="1">
        <f>INDEX(B4:I25,MATCH(7,K4:K25,0),2)</f>
        <v>79.646017699115049</v>
      </c>
    </row>
    <row r="11" spans="1:13" x14ac:dyDescent="0.25">
      <c r="A11" s="9">
        <v>8</v>
      </c>
      <c r="B11" s="2" t="s">
        <v>76</v>
      </c>
      <c r="C11" s="296">
        <f>SUM(P.25!U35)</f>
        <v>85.318559556786695</v>
      </c>
      <c r="D11" s="1">
        <f>SUM(P.25!V35)</f>
        <v>18.604651162790699</v>
      </c>
      <c r="E11" s="1">
        <f>SUM(P.25!W35)</f>
        <v>95.945945945945937</v>
      </c>
      <c r="F11" s="1">
        <f>SUMIF(P.25!X35,"&gt;1",(P.25!X35))</f>
        <v>97.163120567375884</v>
      </c>
      <c r="G11" s="1">
        <f>SUM(P.25!Y35)</f>
        <v>89.393939393939391</v>
      </c>
      <c r="H11" s="1">
        <f>SUM(P.25!Z35)</f>
        <v>78.94736842105263</v>
      </c>
      <c r="I11" s="1">
        <f>SUM(P.25!AA35)</f>
        <v>87.5</v>
      </c>
      <c r="J11" s="2">
        <v>1808</v>
      </c>
      <c r="K11" s="12">
        <f>RANK(C11,$C$4:$C$25,1)+COUNTIF($C$4:C11,C11)-1</f>
        <v>13</v>
      </c>
      <c r="L11" s="57" t="str">
        <f>INDEX(B4:I25,MATCH(8,K4:K25,0),1)</f>
        <v>Ropczyce</v>
      </c>
      <c r="M11" s="15">
        <f>INDEX(B4:I25,MATCH(8,K4:K25,0),2)</f>
        <v>79.816513761467888</v>
      </c>
    </row>
    <row r="12" spans="1:13" x14ac:dyDescent="0.25">
      <c r="A12" s="9">
        <v>9</v>
      </c>
      <c r="B12" s="2" t="s">
        <v>77</v>
      </c>
      <c r="C12" s="296">
        <f>SUM(P.25!U36)</f>
        <v>85.507246376811594</v>
      </c>
      <c r="D12" s="1">
        <f>SUM(P.25!V36)</f>
        <v>100</v>
      </c>
      <c r="E12" s="1">
        <f>SUM(P.25!W36)</f>
        <v>98.666666666666671</v>
      </c>
      <c r="F12" s="1">
        <f>SUMIF(P.25!X36,"&gt;1",(P.25!X36))</f>
        <v>100</v>
      </c>
      <c r="G12" s="1">
        <f>SUM(P.25!Y36)</f>
        <v>100</v>
      </c>
      <c r="H12" s="296">
        <f>SUMIF(P.25!Z36,"&gt;1",(P.25!Z36))</f>
        <v>100</v>
      </c>
      <c r="I12" s="1">
        <f>SUM(P.25!AA36)</f>
        <v>90.277777777777786</v>
      </c>
      <c r="J12" s="2">
        <v>1809</v>
      </c>
      <c r="K12" s="12">
        <f>RANK(C12,$C$4:$C$25,1)+COUNTIF($C$4:C12,C12)-1</f>
        <v>14</v>
      </c>
      <c r="L12" s="469" t="str">
        <f>INDEX(B4:I25,MATCH(9,K4:K25,0),1)</f>
        <v>Podkarpacie</v>
      </c>
      <c r="M12" s="464">
        <f>INDEX(B4:I25,MATCH(9,K4:K25,0),2)</f>
        <v>82.448610797379715</v>
      </c>
    </row>
    <row r="13" spans="1:13" x14ac:dyDescent="0.25">
      <c r="A13" s="9">
        <v>10</v>
      </c>
      <c r="B13" s="2" t="s">
        <v>78</v>
      </c>
      <c r="C13" s="296">
        <f>SUM(P.25!U37)</f>
        <v>75.352112676056336</v>
      </c>
      <c r="D13" s="1">
        <f>SUM(P.25!V37)</f>
        <v>52.459016393442624</v>
      </c>
      <c r="E13" s="1">
        <f>SUM(P.25!W37)</f>
        <v>99.173553719008268</v>
      </c>
      <c r="F13" s="1">
        <f>SUMIF(P.25!X37,"&gt;1",(P.25!X37))</f>
        <v>100</v>
      </c>
      <c r="G13" s="1">
        <f>SUM(P.25!Y37)</f>
        <v>93.243243243243242</v>
      </c>
      <c r="H13" s="1">
        <f>SUM(P.25!Z37)</f>
        <v>85.507246376811594</v>
      </c>
      <c r="I13" s="1">
        <f>SUM(P.25!AA37)</f>
        <v>95.833333333333343</v>
      </c>
      <c r="J13" s="2">
        <v>1810</v>
      </c>
      <c r="K13" s="12">
        <f>RANK(C13,$C$4:$C$25,1)+COUNTIF($C$4:C13,C13)-1</f>
        <v>3</v>
      </c>
      <c r="L13" s="11" t="str">
        <f>INDEX(B4:I25,MATCH(10,K4:K25,0),1)</f>
        <v>Tarnobrzeg</v>
      </c>
      <c r="M13" s="1">
        <f>INDEX(B4:I25,MATCH(10,K4:K25,0),2)</f>
        <v>84.491978609625676</v>
      </c>
    </row>
    <row r="14" spans="1:13" x14ac:dyDescent="0.25">
      <c r="A14" s="9">
        <v>11</v>
      </c>
      <c r="B14" s="2" t="s">
        <v>79</v>
      </c>
      <c r="C14" s="296">
        <f>SUM(P.25!U38)</f>
        <v>78.542510121457482</v>
      </c>
      <c r="D14" s="1">
        <f>SUM(P.25!V38)</f>
        <v>57.142857142857139</v>
      </c>
      <c r="E14" s="1">
        <f>SUM(P.25!W38)</f>
        <v>80.314960629921259</v>
      </c>
      <c r="F14" s="1">
        <f>SUMIF(P.25!X38,"&gt;1",(P.25!X38))</f>
        <v>100</v>
      </c>
      <c r="G14" s="1">
        <f>SUM(P.25!Y38)</f>
        <v>100</v>
      </c>
      <c r="H14" s="1">
        <f>SUM(P.25!Z38)</f>
        <v>85.714285714285708</v>
      </c>
      <c r="I14" s="1">
        <f>SUM(P.25!AA38)</f>
        <v>100</v>
      </c>
      <c r="J14" s="2">
        <v>1811</v>
      </c>
      <c r="K14" s="12">
        <f>RANK(C14,$C$4:$C$25,1)+COUNTIF($C$4:C14,C14)-1</f>
        <v>5</v>
      </c>
      <c r="L14" s="11" t="str">
        <f>INDEX(B4:I25,MATCH(11,K4:K25,0),1)</f>
        <v>Strzyżów</v>
      </c>
      <c r="M14" s="1">
        <f>INDEX(B4:I25,MATCH(11,K4:K25,0),2)</f>
        <v>84.859154929577457</v>
      </c>
    </row>
    <row r="15" spans="1:13" x14ac:dyDescent="0.25">
      <c r="A15" s="9">
        <v>12</v>
      </c>
      <c r="B15" s="2" t="s">
        <v>80</v>
      </c>
      <c r="C15" s="296">
        <f>SUM(P.25!U39)</f>
        <v>67.164179104477611</v>
      </c>
      <c r="D15" s="1">
        <f>SUM(P.25!V39)</f>
        <v>40</v>
      </c>
      <c r="E15" s="1">
        <f>SUM(P.25!W39)</f>
        <v>87.937743190661479</v>
      </c>
      <c r="F15" s="1">
        <f>SUMIF(P.25!X39,"&gt;1",(P.25!X39))</f>
        <v>69.230769230769226</v>
      </c>
      <c r="G15" s="1">
        <f>SUM(P.25!Y39)</f>
        <v>100</v>
      </c>
      <c r="H15" s="1">
        <f>SUM(P.25!Z39)</f>
        <v>88.888888888888886</v>
      </c>
      <c r="I15" s="1">
        <f>SUM(P.25!AA39)</f>
        <v>91.666666666666657</v>
      </c>
      <c r="J15" s="2">
        <v>1812</v>
      </c>
      <c r="K15" s="12">
        <f>RANK(C15,$C$4:$C$25,1)+COUNTIF($C$4:C15,C15)-1</f>
        <v>1</v>
      </c>
      <c r="L15" s="11" t="str">
        <f>INDEX(B4:I25,MATCH(12,K4:K25,0),1)</f>
        <v>Stalowa Wola</v>
      </c>
      <c r="M15" s="1">
        <f>INDEX(B4:I25,MATCH(12,K4:K25,0),2)</f>
        <v>85.051546391752581</v>
      </c>
    </row>
    <row r="16" spans="1:13" x14ac:dyDescent="0.25">
      <c r="A16" s="9">
        <v>13</v>
      </c>
      <c r="B16" s="2" t="s">
        <v>81</v>
      </c>
      <c r="C16" s="296">
        <f>SUM(P.25!U40)</f>
        <v>77.5</v>
      </c>
      <c r="D16" s="1">
        <f>SUM(P.25!V40)</f>
        <v>90.243902439024396</v>
      </c>
      <c r="E16" s="1">
        <f>SUM(P.25!W40)</f>
        <v>83.769633507853399</v>
      </c>
      <c r="F16" s="1">
        <f>SUMIF(P.25!X40,"&gt;1",(P.25!X40))</f>
        <v>81.818181818181827</v>
      </c>
      <c r="G16" s="1">
        <f>SUM(P.25!Y40)</f>
        <v>93.442622950819683</v>
      </c>
      <c r="H16" s="1">
        <f>SUM(P.25!Z40)</f>
        <v>85.365853658536579</v>
      </c>
      <c r="I16" s="1">
        <f>SUM(P.25!AA40)</f>
        <v>88.888888888888886</v>
      </c>
      <c r="J16" s="2">
        <v>1814</v>
      </c>
      <c r="K16" s="59">
        <f>RANK(C16,$C$4:$C$25,1)+COUNTIF($C$4:C16,C16)-1</f>
        <v>4</v>
      </c>
      <c r="L16" s="58" t="str">
        <f>INDEX(B4:I25,MATCH(13,K4:K25,0),1)</f>
        <v>Leżajsk</v>
      </c>
      <c r="M16" s="15">
        <f>INDEX(B4:I25,MATCH(13,K4:K25,0),2)</f>
        <v>85.318559556786695</v>
      </c>
    </row>
    <row r="17" spans="1:13" x14ac:dyDescent="0.25">
      <c r="A17" s="9">
        <v>14</v>
      </c>
      <c r="B17" s="2" t="s">
        <v>82</v>
      </c>
      <c r="C17" s="296">
        <f>SUM(P.25!U41)</f>
        <v>79.816513761467888</v>
      </c>
      <c r="D17" s="1">
        <f>SUM(P.25!V41)</f>
        <v>79.166666666666657</v>
      </c>
      <c r="E17" s="1">
        <f>SUM(P.25!W41)</f>
        <v>80.188679245283026</v>
      </c>
      <c r="F17" s="1">
        <f>SUMIF(P.25!X41,"&gt;1",(P.25!X41))</f>
        <v>94.339622641509436</v>
      </c>
      <c r="G17" s="1">
        <f>SUM(P.25!Y41)</f>
        <v>96.969696969696969</v>
      </c>
      <c r="H17" s="1">
        <f>SUM(P.25!Z41)</f>
        <v>79.381443298969074</v>
      </c>
      <c r="I17" s="1">
        <f>SUM(P.25!AA41)</f>
        <v>92.307692307692307</v>
      </c>
      <c r="J17" s="2">
        <v>1815</v>
      </c>
      <c r="K17" s="13">
        <f>RANK(C17,$C$4:$C$25,1)+COUNTIF($C$4:C17,C17)-1</f>
        <v>8</v>
      </c>
      <c r="L17" s="14" t="str">
        <f>INDEX(B4:I25,MATCH(14,K4:K25,0),1)</f>
        <v>Lubaczów</v>
      </c>
      <c r="M17" s="1">
        <f>INDEX(B4:I25,MATCH(14,K4:K25,0),2)</f>
        <v>85.507246376811594</v>
      </c>
    </row>
    <row r="18" spans="1:13" x14ac:dyDescent="0.25">
      <c r="A18" s="299">
        <v>15</v>
      </c>
      <c r="B18" s="298" t="s">
        <v>83</v>
      </c>
      <c r="C18" s="297">
        <f>SUM(P.25!U43)</f>
        <v>79.514824797843659</v>
      </c>
      <c r="D18" s="95">
        <f>SUM(P.25!V43)</f>
        <v>47.10144927536232</v>
      </c>
      <c r="E18" s="95">
        <f>SUM(P.25!W43)</f>
        <v>91.095890410958901</v>
      </c>
      <c r="F18" s="95">
        <f>SUMIF(P.25!X43,"&gt;1",(P.25!X43))</f>
        <v>99.038461538461547</v>
      </c>
      <c r="G18" s="95">
        <f>SUM(P.25!Y43)</f>
        <v>98.498498498498492</v>
      </c>
      <c r="H18" s="95">
        <f>SUM(P.25!Z43)</f>
        <v>89.029535864978897</v>
      </c>
      <c r="I18" s="95">
        <f>SUM(P.25!AA43)</f>
        <v>95.945945945945937</v>
      </c>
      <c r="J18" s="298" t="s">
        <v>136</v>
      </c>
      <c r="K18" s="12">
        <f>RANK(C18,$C$4:$C$25,1)+COUNTIF($C$4:C18,C18)-1</f>
        <v>6</v>
      </c>
      <c r="L18" s="2" t="str">
        <f>INDEX(B4:I25,MATCH(15,K4:K25,0),1)</f>
        <v>Krosno</v>
      </c>
      <c r="M18" s="1">
        <f>INDEX(B4:I25,MATCH(15,K4:K25,0),2)</f>
        <v>86.666666666666671</v>
      </c>
    </row>
    <row r="19" spans="1:13" x14ac:dyDescent="0.25">
      <c r="A19" s="9">
        <v>16</v>
      </c>
      <c r="B19" s="2" t="s">
        <v>84</v>
      </c>
      <c r="C19" s="296">
        <f>SUM(P.25!U44)</f>
        <v>79.646017699115049</v>
      </c>
      <c r="D19" s="1">
        <f>SUM(P.25!V44)</f>
        <v>61.855670103092784</v>
      </c>
      <c r="E19" s="1">
        <f>SUM(P.25!W44)</f>
        <v>93.421052631578945</v>
      </c>
      <c r="F19" s="1">
        <f>SUMIF(P.25!X44,"&gt;1",(P.25!X44))</f>
        <v>88.888888888888886</v>
      </c>
      <c r="G19" s="1">
        <f>SUM(P.25!Y44)</f>
        <v>97.27272727272728</v>
      </c>
      <c r="H19" s="1">
        <f>SUM(P.25!Z44)</f>
        <v>92.20779220779221</v>
      </c>
      <c r="I19" s="1">
        <f>SUM(P.25!AA44)</f>
        <v>94.444444444444443</v>
      </c>
      <c r="J19" s="2">
        <v>1817</v>
      </c>
      <c r="K19" s="12">
        <f>RANK(C19,$C$4:$C$25,1)+COUNTIF($C$4:C19,C19)-1</f>
        <v>7</v>
      </c>
      <c r="L19" s="2" t="str">
        <f>INDEX(B4:I25,MATCH(16,K4:K25,0),1)</f>
        <v>Kolbuszowa</v>
      </c>
      <c r="M19" s="1">
        <f>INDEX(B4:I25,MATCH(16,K4:K25,0),2)</f>
        <v>87.387387387387378</v>
      </c>
    </row>
    <row r="20" spans="1:13" x14ac:dyDescent="0.25">
      <c r="A20" s="9">
        <v>17</v>
      </c>
      <c r="B20" s="2" t="s">
        <v>85</v>
      </c>
      <c r="C20" s="296">
        <f>SUM(P.25!U45)</f>
        <v>85.051546391752581</v>
      </c>
      <c r="D20" s="1">
        <f>SUM(P.25!V45)</f>
        <v>56.756756756756758</v>
      </c>
      <c r="E20" s="1">
        <f>SUM(P.25!W45)</f>
        <v>100</v>
      </c>
      <c r="F20" s="1">
        <f>SUMIF(P.25!X45,"&gt;1",(P.25!X45))</f>
        <v>100</v>
      </c>
      <c r="G20" s="1">
        <f>SUM(P.25!Y45)</f>
        <v>96.721311475409834</v>
      </c>
      <c r="H20" s="1">
        <f>SUM(P.25!Z45)</f>
        <v>91.83673469387756</v>
      </c>
      <c r="I20" s="1">
        <f>SUM(P.25!AA45)</f>
        <v>87.096774193548384</v>
      </c>
      <c r="J20" s="2">
        <v>1818</v>
      </c>
      <c r="K20" s="12">
        <f>RANK(C20,$C$4:$C$25,1)+COUNTIF($C$4:C20,C20)-1</f>
        <v>12</v>
      </c>
      <c r="L20" s="2" t="str">
        <f>INDEX(B4:I25,MATCH(17,K4:K25,0),1)</f>
        <v>Ustrzyki Dolne</v>
      </c>
      <c r="M20" s="1">
        <f>INDEX(B4:I25,MATCH(17,K4:K25,0),2)</f>
        <v>87.628865979381445</v>
      </c>
    </row>
    <row r="21" spans="1:13" x14ac:dyDescent="0.25">
      <c r="A21" s="9">
        <v>18</v>
      </c>
      <c r="B21" s="2" t="s">
        <v>86</v>
      </c>
      <c r="C21" s="296">
        <f>SUM(P.25!U46)</f>
        <v>84.859154929577457</v>
      </c>
      <c r="D21" s="1">
        <f>SUM(P.25!V46)</f>
        <v>63.768115942028977</v>
      </c>
      <c r="E21" s="1">
        <f>SUM(P.25!W46)</f>
        <v>100</v>
      </c>
      <c r="F21" s="1">
        <f>SUMIF(P.25!X46,"&gt;1",(P.25!X46))</f>
        <v>98.290598290598282</v>
      </c>
      <c r="G21" s="1">
        <f>SUM(P.25!Y46)</f>
        <v>100</v>
      </c>
      <c r="H21" s="1">
        <f>SUM(P.25!Z46)</f>
        <v>94.666666666666671</v>
      </c>
      <c r="I21" s="1">
        <f>SUM(P.25!AA46)</f>
        <v>88.888888888888886</v>
      </c>
      <c r="J21" s="2">
        <v>1819</v>
      </c>
      <c r="K21" s="12">
        <f>RANK(C21,$C$4:$C$25,1)+COUNTIF($C$4:C21,C21)-1</f>
        <v>11</v>
      </c>
      <c r="L21" s="2" t="str">
        <f>INDEX(B4:I25,MATCH(18,K4:K25,0),1)</f>
        <v>Jasło</v>
      </c>
      <c r="M21" s="1">
        <f>INDEX(B4:I25,MATCH(18,K4:K25,0),2)</f>
        <v>87.793427230046944</v>
      </c>
    </row>
    <row r="22" spans="1:13" x14ac:dyDescent="0.25">
      <c r="A22" s="299">
        <v>19</v>
      </c>
      <c r="B22" s="298" t="s">
        <v>87</v>
      </c>
      <c r="C22" s="297">
        <f>SUM(P.25!U47)</f>
        <v>84.491978609625676</v>
      </c>
      <c r="D22" s="95">
        <f>SUM(P.25!V47)</f>
        <v>44.444444444444443</v>
      </c>
      <c r="E22" s="95">
        <f>SUM(P.25!W47)</f>
        <v>97.849462365591393</v>
      </c>
      <c r="F22" s="95">
        <f>SUMIF(P.25!X47,"&gt;1",(P.25!X47))</f>
        <v>99.371069182389931</v>
      </c>
      <c r="G22" s="95">
        <f>SUM(P.25!Y47)</f>
        <v>97.560975609756099</v>
      </c>
      <c r="H22" s="95">
        <f>SUM(P.25!Z47)</f>
        <v>100</v>
      </c>
      <c r="I22" s="95">
        <f>SUM(P.25!AA47)</f>
        <v>100</v>
      </c>
      <c r="J22" s="298" t="s">
        <v>137</v>
      </c>
      <c r="K22" s="12">
        <f>RANK(C22,$C$4:$C$25,1)+COUNTIF($C$4:C22,C22)-1</f>
        <v>10</v>
      </c>
      <c r="L22" s="2" t="str">
        <f>INDEX(B4:I25,MATCH(19,K4:K25,0),1)</f>
        <v>Brzozów</v>
      </c>
      <c r="M22" s="1">
        <f>INDEX(B4:I25,MATCH(19,K4:K25,0),2)</f>
        <v>88.135593220338976</v>
      </c>
    </row>
    <row r="23" spans="1:13" x14ac:dyDescent="0.25">
      <c r="A23" s="9">
        <v>20</v>
      </c>
      <c r="B23" s="2" t="s">
        <v>88</v>
      </c>
      <c r="C23" s="296">
        <f>SUM(P.25!U48)</f>
        <v>88.461538461538453</v>
      </c>
      <c r="D23" s="1">
        <f>SUM(P.25!V48)</f>
        <v>61.53846153846154</v>
      </c>
      <c r="E23" s="1">
        <f>SUM(P.25!W48)</f>
        <v>89.743589743589752</v>
      </c>
      <c r="F23" s="1">
        <f>SUMIF(P.25!X48,"&gt;1",(P.25!X48))</f>
        <v>96.969696969696969</v>
      </c>
      <c r="G23" s="1">
        <f>SUM(P.25!Y48)</f>
        <v>92.1875</v>
      </c>
      <c r="H23" s="1">
        <f>SUM(P.25!Z48)</f>
        <v>100</v>
      </c>
      <c r="I23" s="1">
        <f>SUM(P.25!AA48)</f>
        <v>77.272727272727266</v>
      </c>
      <c r="J23" s="2">
        <v>1821</v>
      </c>
      <c r="K23" s="12">
        <f>RANK(C23,$C$4:$C$25,1)+COUNTIF($C$4:C23,C23)-1</f>
        <v>20</v>
      </c>
      <c r="L23" s="2" t="str">
        <f>INDEX(B4:I25,MATCH(20,K4:K25,0),1)</f>
        <v>Lesko</v>
      </c>
      <c r="M23" s="1">
        <f>INDEX(B4:I25,MATCH(20,K4:K25,0),2)</f>
        <v>88.461538461538453</v>
      </c>
    </row>
    <row r="24" spans="1:13" x14ac:dyDescent="0.25">
      <c r="A24" s="299">
        <v>21</v>
      </c>
      <c r="B24" s="298" t="s">
        <v>91</v>
      </c>
      <c r="C24" s="297">
        <f>SUM(P.25!U49)</f>
        <v>89.629629629629619</v>
      </c>
      <c r="D24" s="95">
        <f>SUM(P.25!V49)</f>
        <v>65.517241379310349</v>
      </c>
      <c r="E24" s="95">
        <f>SUM(P.25!W49)</f>
        <v>98.888888888888886</v>
      </c>
      <c r="F24" s="95">
        <f>SUMIF(P.25!X49,"&gt;1",(P.25!X49))</f>
        <v>94.444444444444443</v>
      </c>
      <c r="G24" s="95">
        <f>SUM(P.25!Y49)</f>
        <v>94.078947368421055</v>
      </c>
      <c r="H24" s="95">
        <f>SUM(P.25!Z49)</f>
        <v>92.134831460674164</v>
      </c>
      <c r="I24" s="95">
        <f>SUM(P.25!AA49)</f>
        <v>56.684491978609628</v>
      </c>
      <c r="J24" s="298" t="s">
        <v>135</v>
      </c>
      <c r="K24" s="12">
        <f>RANK(C24,$C$4:$C$25,1)+COUNTIF($C$4:C24,C24)-1</f>
        <v>22</v>
      </c>
      <c r="L24" s="2" t="str">
        <f>INDEX(B4:I25,MATCH(21,K4:K25,0),1)</f>
        <v>Jarosław</v>
      </c>
      <c r="M24" s="1">
        <f>INDEX(B4:I25,MATCH(21,K4:K25,0),2)</f>
        <v>88.549618320610691</v>
      </c>
    </row>
    <row r="25" spans="1:13" x14ac:dyDescent="0.25">
      <c r="A25" s="9">
        <v>22</v>
      </c>
      <c r="B25" s="11" t="s">
        <v>94</v>
      </c>
      <c r="C25" s="296">
        <f>SUM(P.25!U50)</f>
        <v>82.448610797379715</v>
      </c>
      <c r="D25" s="1">
        <f>SUM(P.25!V50)</f>
        <v>51.242236024844722</v>
      </c>
      <c r="E25" s="1">
        <f>SUM(P.25!W50)</f>
        <v>93.262653898768804</v>
      </c>
      <c r="F25" s="1">
        <f>SUMIF(P.25!X50,"&gt;1",(P.25!X50))</f>
        <v>96.568977841315231</v>
      </c>
      <c r="G25" s="1">
        <f>SUM(P.25!Y50)</f>
        <v>97.348066298342545</v>
      </c>
      <c r="H25" s="1">
        <f>SUM(P.25!Z50)</f>
        <v>89.86486486486487</v>
      </c>
      <c r="I25" s="1">
        <f>SUM(P.25!AA50)</f>
        <v>82.754759238521842</v>
      </c>
      <c r="J25" s="2">
        <v>1800</v>
      </c>
      <c r="K25" s="12">
        <f>RANK(C25,$C$4:$C$25,1)+COUNTIF($C$4:C25,C25)-1</f>
        <v>9</v>
      </c>
      <c r="L25" s="2" t="str">
        <f>INDEX(B4:I25,MATCH(22,K4:K25,0),1)</f>
        <v>Przemyśl</v>
      </c>
      <c r="M25" s="1">
        <f>INDEX(B4:I25,MATCH(22,K4:K25,0),2)</f>
        <v>89.629629629629619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294">
        <v>1</v>
      </c>
      <c r="B27" s="295" t="s">
        <v>1</v>
      </c>
      <c r="C27" s="8" t="s">
        <v>143</v>
      </c>
    </row>
    <row r="28" spans="1:13" x14ac:dyDescent="0.25">
      <c r="A28" s="9">
        <v>2</v>
      </c>
      <c r="B28" s="10" t="s">
        <v>2</v>
      </c>
      <c r="C28" s="8" t="s">
        <v>143</v>
      </c>
      <c r="D28" s="17"/>
      <c r="E28" s="17"/>
      <c r="F28" s="17"/>
      <c r="G28" s="17"/>
      <c r="H28" s="17"/>
      <c r="I28" s="17"/>
      <c r="J28" s="17"/>
      <c r="K28" s="8"/>
    </row>
    <row r="29" spans="1:13" x14ac:dyDescent="0.25">
      <c r="A29" s="9">
        <v>3</v>
      </c>
      <c r="B29" s="10" t="s">
        <v>3</v>
      </c>
      <c r="C29" s="8" t="s">
        <v>143</v>
      </c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A97ED-B412-4EED-A0C8-F3E887DA590C}">
  <sheetPr>
    <tabColor theme="0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2" width="13.42578125" style="8" customWidth="1"/>
    <col min="3" max="3" width="8.28515625" style="8" customWidth="1"/>
    <col min="4" max="4" width="9.140625" style="8"/>
    <col min="5" max="5" width="11" style="8" customWidth="1"/>
    <col min="6" max="6" width="10.5703125" style="8" customWidth="1"/>
    <col min="7" max="7" width="10" style="8" customWidth="1"/>
    <col min="8" max="9" width="10.85546875" style="8" customWidth="1"/>
    <col min="10" max="10" width="11.5703125" style="5" customWidth="1"/>
    <col min="11" max="11" width="7.85546875" style="5" customWidth="1"/>
    <col min="12" max="12" width="14.42578125" style="5" customWidth="1"/>
    <col min="13" max="13" width="12.7109375" style="8" customWidth="1"/>
    <col min="14" max="16384" width="9.140625" style="8"/>
  </cols>
  <sheetData>
    <row r="1" spans="1:13" x14ac:dyDescent="0.25">
      <c r="A1" s="8" t="s">
        <v>147</v>
      </c>
      <c r="B1" s="471">
        <v>2025</v>
      </c>
    </row>
    <row r="2" spans="1:13" x14ac:dyDescent="0.25">
      <c r="A2" s="8" t="s">
        <v>298</v>
      </c>
    </row>
    <row r="3" spans="1:13" x14ac:dyDescent="0.25">
      <c r="A3" s="294">
        <f>SUM(P.!K26)</f>
        <v>0</v>
      </c>
      <c r="B3" s="295" t="s">
        <v>95</v>
      </c>
      <c r="C3" s="294" t="s">
        <v>127</v>
      </c>
      <c r="D3" s="294" t="s">
        <v>126</v>
      </c>
      <c r="E3" s="294" t="s">
        <v>140</v>
      </c>
      <c r="F3" s="294" t="s">
        <v>130</v>
      </c>
      <c r="G3" s="294" t="s">
        <v>141</v>
      </c>
      <c r="H3" s="294" t="s">
        <v>139</v>
      </c>
      <c r="I3" s="294" t="s">
        <v>276</v>
      </c>
      <c r="J3" s="294"/>
      <c r="K3" s="294" t="s">
        <v>67</v>
      </c>
      <c r="L3" s="294" t="s">
        <v>142</v>
      </c>
      <c r="M3" s="462" t="s">
        <v>138</v>
      </c>
    </row>
    <row r="4" spans="1:13" x14ac:dyDescent="0.25">
      <c r="A4" s="9">
        <v>1</v>
      </c>
      <c r="B4" s="2" t="s">
        <v>69</v>
      </c>
      <c r="C4" s="1">
        <f>SUM(P.25!U27)</f>
        <v>87.628865979381445</v>
      </c>
      <c r="D4" s="296">
        <f>SUM(P.25!V27)</f>
        <v>53.846153846153847</v>
      </c>
      <c r="E4" s="1">
        <f>SUM(P.25!W27)</f>
        <v>96.226415094339629</v>
      </c>
      <c r="F4" s="1">
        <f>SUMIF(P.25!X27,"&gt;1",(P.25!X27))</f>
        <v>100</v>
      </c>
      <c r="G4" s="1">
        <f>SUMIF(P.25!Y27,"&gt;1",(P.25!Y27))</f>
        <v>97.560975609756099</v>
      </c>
      <c r="H4" s="1">
        <f>SUMIF(P.25!Z27,"&gt;1",(P.25!Z27))</f>
        <v>100</v>
      </c>
      <c r="I4" s="1">
        <f>SUMIF(P.25!AA27,"&gt;1",(P.25!AA27))</f>
        <v>76.923076923076934</v>
      </c>
      <c r="J4" s="2">
        <v>1801</v>
      </c>
      <c r="K4" s="12">
        <f>RANK(D4,$D$4:$D$25,1)+COUNTIF($D$4:D4,D4)-1</f>
        <v>10</v>
      </c>
      <c r="L4" s="2" t="str">
        <f>INDEX(B4:I25,MATCH(1,K4:K25,0),1)</f>
        <v>Leżajsk</v>
      </c>
      <c r="M4" s="1">
        <f>INDEX(B4:I25,MATCH(1,K4:K25,0),3)</f>
        <v>18.604651162790699</v>
      </c>
    </row>
    <row r="5" spans="1:13" x14ac:dyDescent="0.25">
      <c r="A5" s="9">
        <v>2</v>
      </c>
      <c r="B5" s="2" t="s">
        <v>70</v>
      </c>
      <c r="C5" s="1">
        <f>SUM(P.25!U28)</f>
        <v>88.135593220338976</v>
      </c>
      <c r="D5" s="296">
        <f>SUM(P.25!V28)</f>
        <v>94.444444444444443</v>
      </c>
      <c r="E5" s="1">
        <f>SUM(P.25!W28)</f>
        <v>98.550724637681171</v>
      </c>
      <c r="F5" s="1">
        <f>SUMIF(P.25!X28,"&gt;1",(P.25!X28))</f>
        <v>100</v>
      </c>
      <c r="G5" s="1">
        <f>SUM(P.25!Y28)</f>
        <v>99.242424242424249</v>
      </c>
      <c r="H5" s="1">
        <f>SUM(P.25!Z28)</f>
        <v>97.916666666666657</v>
      </c>
      <c r="I5" s="1">
        <f>SUM(P.25!AA28)</f>
        <v>89.830508474576277</v>
      </c>
      <c r="J5" s="2">
        <v>1802</v>
      </c>
      <c r="K5" s="12">
        <f>RANK(D5,$D$4:$D$25,1)+COUNTIF($D$4:D5,D5)-1</f>
        <v>21</v>
      </c>
      <c r="L5" s="11" t="str">
        <f>INDEX(B4:I25,MATCH(2,K4:K25,0),1)</f>
        <v>Kolbuszowa</v>
      </c>
      <c r="M5" s="1">
        <f>INDEX(B4:I25,MATCH(2,K4:K25,0),3)</f>
        <v>40</v>
      </c>
    </row>
    <row r="6" spans="1:13" x14ac:dyDescent="0.25">
      <c r="A6" s="9">
        <v>3</v>
      </c>
      <c r="B6" s="2" t="s">
        <v>71</v>
      </c>
      <c r="C6" s="1">
        <f>SUM(P.25!U29)</f>
        <v>67.5</v>
      </c>
      <c r="D6" s="296">
        <f>SUM(P.25!V29)</f>
        <v>66.666666666666657</v>
      </c>
      <c r="E6" s="1">
        <f>SUM(P.25!W29)</f>
        <v>97.354497354497354</v>
      </c>
      <c r="F6" s="1">
        <f>SUMIF(P.25!X29,"&gt;1",(P.25!X29))</f>
        <v>100</v>
      </c>
      <c r="G6" s="1">
        <f>SUM(P.25!Y29)</f>
        <v>100</v>
      </c>
      <c r="H6" s="1">
        <f>SUM(P.25!Z29)</f>
        <v>100</v>
      </c>
      <c r="I6" s="1">
        <f>SUM(P.25!AA29)</f>
        <v>93.548387096774192</v>
      </c>
      <c r="J6" s="2">
        <v>1803</v>
      </c>
      <c r="K6" s="12">
        <f>RANK(D6,$D$4:$D$25,1)+COUNTIF($D$4:D6,D6)-1</f>
        <v>17</v>
      </c>
      <c r="L6" s="11" t="str">
        <f>INDEX(B4:I25,MATCH(3,K4:K25,0),1)</f>
        <v>Nisko</v>
      </c>
      <c r="M6" s="1">
        <f>INDEX(B4:I25,MATCH(3,K4:K25,0),3)</f>
        <v>40</v>
      </c>
    </row>
    <row r="7" spans="1:13" x14ac:dyDescent="0.25">
      <c r="A7" s="9">
        <v>4</v>
      </c>
      <c r="B7" s="2" t="s">
        <v>72</v>
      </c>
      <c r="C7" s="1">
        <f>SUM(P.25!U30)</f>
        <v>88.549618320610691</v>
      </c>
      <c r="D7" s="296">
        <f>SUM(P.25!V30)</f>
        <v>72.727272727272734</v>
      </c>
      <c r="E7" s="1">
        <f>SUM(P.25!W30)</f>
        <v>98.425196850393704</v>
      </c>
      <c r="F7" s="1">
        <f>SUMIF(P.25!X30,"&gt;1",(P.25!X30))</f>
        <v>98.290598290598282</v>
      </c>
      <c r="G7" s="1">
        <f>SUM(P.25!Y30)</f>
        <v>100</v>
      </c>
      <c r="H7" s="1">
        <f>SUM(P.25!Z30)</f>
        <v>99.193548387096769</v>
      </c>
      <c r="I7" s="1">
        <f>SUM(P.25!AA30)</f>
        <v>80.645161290322577</v>
      </c>
      <c r="J7" s="2">
        <v>1804</v>
      </c>
      <c r="K7" s="12">
        <f>RANK(D7,$D$4:$D$25,1)+COUNTIF($D$4:D7,D7)-1</f>
        <v>18</v>
      </c>
      <c r="L7" s="11" t="str">
        <f>INDEX(B4:I25,MATCH(4,K4:K25,0),1)</f>
        <v>Jasło</v>
      </c>
      <c r="M7" s="1">
        <f>INDEX(B4:I25,MATCH(4,K4:K25,0),3)</f>
        <v>40.54054054054054</v>
      </c>
    </row>
    <row r="8" spans="1:13" x14ac:dyDescent="0.25">
      <c r="A8" s="9">
        <v>5</v>
      </c>
      <c r="B8" s="2" t="s">
        <v>73</v>
      </c>
      <c r="C8" s="1">
        <f>SUM(P.25!U31)</f>
        <v>87.793427230046944</v>
      </c>
      <c r="D8" s="296">
        <f>SUM(P.25!V31)</f>
        <v>40.54054054054054</v>
      </c>
      <c r="E8" s="1">
        <f>SUM(P.25!W31)</f>
        <v>92.592592592592595</v>
      </c>
      <c r="F8" s="1">
        <f>SUMIF(P.25!X31,"&gt;1",(P.25!X31))</f>
        <v>95.3125</v>
      </c>
      <c r="G8" s="1">
        <f>SUM(P.25!Y31)</f>
        <v>97.247706422018354</v>
      </c>
      <c r="H8" s="1">
        <f>SUM(P.25!Z31)</f>
        <v>86.021505376344081</v>
      </c>
      <c r="I8" s="1">
        <f>SUM(P.25!AA31)</f>
        <v>84.090909090909093</v>
      </c>
      <c r="J8" s="2">
        <v>1805</v>
      </c>
      <c r="K8" s="12">
        <f>RANK(D8,$D$4:$D$25,1)+COUNTIF($D$4:D8,D8)-1</f>
        <v>4</v>
      </c>
      <c r="L8" s="11" t="str">
        <f>INDEX(B4:I25,MATCH(5,K4:K25,0),1)</f>
        <v>Krosno</v>
      </c>
      <c r="M8" s="1">
        <f>INDEX(B4:I25,MATCH(5,K4:K25,0),3)</f>
        <v>43.75</v>
      </c>
    </row>
    <row r="9" spans="1:13" x14ac:dyDescent="0.25">
      <c r="A9" s="9">
        <v>6</v>
      </c>
      <c r="B9" s="2" t="s">
        <v>74</v>
      </c>
      <c r="C9" s="1">
        <f>SUM(P.25!U32)</f>
        <v>87.387387387387378</v>
      </c>
      <c r="D9" s="296">
        <f>SUM(P.25!V32)</f>
        <v>40</v>
      </c>
      <c r="E9" s="1">
        <f>SUM(P.25!W32)</f>
        <v>96.774193548387103</v>
      </c>
      <c r="F9" s="1">
        <f>SUMIF(P.25!X32,"&gt;1",(P.25!X32))</f>
        <v>94.117647058823522</v>
      </c>
      <c r="G9" s="1">
        <f>SUM(P.25!Y32)</f>
        <v>100</v>
      </c>
      <c r="H9" s="1">
        <f>SUM(P.25!Z32)</f>
        <v>98.591549295774655</v>
      </c>
      <c r="I9" s="562">
        <f>SUMIF(P.25!AA32,"&gt;1",(P.25!AA32))</f>
        <v>0</v>
      </c>
      <c r="J9" s="2">
        <v>1806</v>
      </c>
      <c r="K9" s="12">
        <f>RANK(D9,$D$4:$D$25,1)+COUNTIF($D$4:D9,D9)-1</f>
        <v>2</v>
      </c>
      <c r="L9" s="11" t="str">
        <f>INDEX(B4:I25,MATCH(6,K4:K25,0),1)</f>
        <v>Tarnobrzeg</v>
      </c>
      <c r="M9" s="1">
        <f>INDEX(B4:I25,MATCH(6,K4:K25,0),3)</f>
        <v>44.444444444444443</v>
      </c>
    </row>
    <row r="10" spans="1:13" x14ac:dyDescent="0.25">
      <c r="A10" s="299">
        <v>7</v>
      </c>
      <c r="B10" s="298" t="s">
        <v>75</v>
      </c>
      <c r="C10" s="95">
        <f>SUM(P.25!U33)</f>
        <v>86.666666666666671</v>
      </c>
      <c r="D10" s="297">
        <f>SUM(P.25!V33)</f>
        <v>43.75</v>
      </c>
      <c r="E10" s="95">
        <f>SUM(P.25!W33)</f>
        <v>100</v>
      </c>
      <c r="F10" s="95">
        <f>SUMIF(P.25!X33,"&gt;1",(P.25!X33))</f>
        <v>100</v>
      </c>
      <c r="G10" s="95">
        <f>SUM(P.25!Y33)</f>
        <v>100</v>
      </c>
      <c r="H10" s="95">
        <f>SUM(P.25!Z33)</f>
        <v>83.15789473684211</v>
      </c>
      <c r="I10" s="95">
        <f>SUM(P.25!AA33)</f>
        <v>97.058823529411768</v>
      </c>
      <c r="J10" s="298" t="s">
        <v>134</v>
      </c>
      <c r="K10" s="12">
        <f>RANK(D10,$D$4:$D$25,1)+COUNTIF($D$4:D10,D10)-1</f>
        <v>5</v>
      </c>
      <c r="L10" s="11" t="str">
        <f>INDEX(B4:I25,MATCH(7,K4:K25,0),1)</f>
        <v>Rzeszów</v>
      </c>
      <c r="M10" s="1">
        <f>INDEX(B4:I25,MATCH(7,K4:K25,0),3)</f>
        <v>47.10144927536232</v>
      </c>
    </row>
    <row r="11" spans="1:13" x14ac:dyDescent="0.25">
      <c r="A11" s="9">
        <v>8</v>
      </c>
      <c r="B11" s="2" t="s">
        <v>76</v>
      </c>
      <c r="C11" s="1">
        <f>SUM(P.25!U35)</f>
        <v>85.318559556786695</v>
      </c>
      <c r="D11" s="296">
        <f>SUM(P.25!V35)</f>
        <v>18.604651162790699</v>
      </c>
      <c r="E11" s="1">
        <f>SUM(P.25!W35)</f>
        <v>95.945945945945937</v>
      </c>
      <c r="F11" s="1">
        <f>SUMIF(P.25!X35,"&gt;1",(P.25!X35))</f>
        <v>97.163120567375884</v>
      </c>
      <c r="G11" s="1">
        <f>SUM(P.25!Y35)</f>
        <v>89.393939393939391</v>
      </c>
      <c r="H11" s="1">
        <f>SUM(P.25!Z35)</f>
        <v>78.94736842105263</v>
      </c>
      <c r="I11" s="1">
        <f>SUM(P.25!AA35)</f>
        <v>87.5</v>
      </c>
      <c r="J11" s="2">
        <v>1808</v>
      </c>
      <c r="K11" s="12">
        <f>RANK(D11,$D$4:$D$25,1)+COUNTIF($D$4:D11,D11)-1</f>
        <v>1</v>
      </c>
      <c r="L11" s="300" t="str">
        <f>INDEX(B4:I25,MATCH(8,K4:K25,0),1)</f>
        <v>Podkarpacie</v>
      </c>
      <c r="M11" s="296">
        <f>INDEX(B4:I25,MATCH(8,K4:K25,0),3)</f>
        <v>51.242236024844722</v>
      </c>
    </row>
    <row r="12" spans="1:13" x14ac:dyDescent="0.25">
      <c r="A12" s="9">
        <v>9</v>
      </c>
      <c r="B12" s="2" t="s">
        <v>77</v>
      </c>
      <c r="C12" s="1">
        <f>SUM(P.25!U36)</f>
        <v>85.507246376811594</v>
      </c>
      <c r="D12" s="296">
        <f>SUM(P.25!V36)</f>
        <v>100</v>
      </c>
      <c r="E12" s="1">
        <f>SUM(P.25!W36)</f>
        <v>98.666666666666671</v>
      </c>
      <c r="F12" s="1">
        <f>SUMIF(P.25!X36,"&gt;1",(P.25!X36))</f>
        <v>100</v>
      </c>
      <c r="G12" s="1">
        <f>SUM(P.25!Y36)</f>
        <v>100</v>
      </c>
      <c r="H12" s="296">
        <f>SUMIF(P.25!Z36,"&gt;1",(P.25!Z36))</f>
        <v>100</v>
      </c>
      <c r="I12" s="1">
        <f>SUM(P.25!AA36)</f>
        <v>90.277777777777786</v>
      </c>
      <c r="J12" s="2">
        <v>1809</v>
      </c>
      <c r="K12" s="12">
        <f>RANK(D12,$D$4:$D$25,1)+COUNTIF($D$4:D12,D12)-1</f>
        <v>22</v>
      </c>
      <c r="L12" s="11" t="str">
        <f>INDEX(B4:I25,MATCH(9,K4:K25,0),1)</f>
        <v>Łańcut</v>
      </c>
      <c r="M12" s="1">
        <f>INDEX(B4:I25,MATCH(9,K4:K25,0),3)</f>
        <v>52.459016393442624</v>
      </c>
    </row>
    <row r="13" spans="1:13" x14ac:dyDescent="0.25">
      <c r="A13" s="9">
        <v>10</v>
      </c>
      <c r="B13" s="2" t="s">
        <v>78</v>
      </c>
      <c r="C13" s="1">
        <f>SUM(P.25!U37)</f>
        <v>75.352112676056336</v>
      </c>
      <c r="D13" s="296">
        <f>SUM(P.25!V37)</f>
        <v>52.459016393442624</v>
      </c>
      <c r="E13" s="1">
        <f>SUM(P.25!W37)</f>
        <v>99.173553719008268</v>
      </c>
      <c r="F13" s="1">
        <f>SUMIF(P.25!X37,"&gt;1",(P.25!X37))</f>
        <v>100</v>
      </c>
      <c r="G13" s="1">
        <f>SUM(P.25!Y37)</f>
        <v>93.243243243243242</v>
      </c>
      <c r="H13" s="1">
        <f>SUM(P.25!Z37)</f>
        <v>85.507246376811594</v>
      </c>
      <c r="I13" s="1">
        <f>SUM(P.25!AA37)</f>
        <v>95.833333333333343</v>
      </c>
      <c r="J13" s="2">
        <v>1810</v>
      </c>
      <c r="K13" s="12">
        <f>RANK(D13,$D$4:$D$25,1)+COUNTIF($D$4:D13,D13)-1</f>
        <v>9</v>
      </c>
      <c r="L13" s="11" t="str">
        <f>INDEX(B4:I25,MATCH(10,K4:K25,0),1)</f>
        <v>Ustrzyki Dolne</v>
      </c>
      <c r="M13" s="1">
        <f>INDEX(B4:I25,MATCH(10,K4:K25,0),3)</f>
        <v>53.846153846153847</v>
      </c>
    </row>
    <row r="14" spans="1:13" x14ac:dyDescent="0.25">
      <c r="A14" s="9">
        <v>11</v>
      </c>
      <c r="B14" s="2" t="s">
        <v>79</v>
      </c>
      <c r="C14" s="1">
        <f>SUM(P.25!U38)</f>
        <v>78.542510121457482</v>
      </c>
      <c r="D14" s="296">
        <f>SUM(P.25!V38)</f>
        <v>57.142857142857139</v>
      </c>
      <c r="E14" s="1">
        <f>SUM(P.25!W38)</f>
        <v>80.314960629921259</v>
      </c>
      <c r="F14" s="1">
        <f>SUMIF(P.25!X38,"&gt;1",(P.25!X38))</f>
        <v>100</v>
      </c>
      <c r="G14" s="1">
        <f>SUM(P.25!Y38)</f>
        <v>100</v>
      </c>
      <c r="H14" s="1">
        <f>SUM(P.25!Z38)</f>
        <v>85.714285714285708</v>
      </c>
      <c r="I14" s="1">
        <f>SUM(P.25!AA38)</f>
        <v>100</v>
      </c>
      <c r="J14" s="2">
        <v>1811</v>
      </c>
      <c r="K14" s="12">
        <f>RANK(D14,$D$4:$D$25,1)+COUNTIF($D$4:D14,D14)-1</f>
        <v>12</v>
      </c>
      <c r="L14" s="11" t="str">
        <f>INDEX(B4:I25,MATCH(11,K4:K25,0),1)</f>
        <v>Stalowa Wola</v>
      </c>
      <c r="M14" s="1">
        <f>INDEX(B4:I25,MATCH(11,K4:K25,0),3)</f>
        <v>56.756756756756758</v>
      </c>
    </row>
    <row r="15" spans="1:13" x14ac:dyDescent="0.25">
      <c r="A15" s="9">
        <v>12</v>
      </c>
      <c r="B15" s="2" t="s">
        <v>80</v>
      </c>
      <c r="C15" s="1">
        <f>SUM(P.25!U39)</f>
        <v>67.164179104477611</v>
      </c>
      <c r="D15" s="296">
        <f>SUM(P.25!V39)</f>
        <v>40</v>
      </c>
      <c r="E15" s="1">
        <f>SUM(P.25!W39)</f>
        <v>87.937743190661479</v>
      </c>
      <c r="F15" s="1">
        <f>SUMIF(P.25!X39,"&gt;1",(P.25!X39))</f>
        <v>69.230769230769226</v>
      </c>
      <c r="G15" s="1">
        <f>SUM(P.25!Y39)</f>
        <v>100</v>
      </c>
      <c r="H15" s="1">
        <f>SUM(P.25!Z39)</f>
        <v>88.888888888888886</v>
      </c>
      <c r="I15" s="1">
        <f>SUM(P.25!AA39)</f>
        <v>91.666666666666657</v>
      </c>
      <c r="J15" s="2">
        <v>1812</v>
      </c>
      <c r="K15" s="12">
        <f>RANK(D15,$D$4:$D$25,1)+COUNTIF($D$4:D15,D15)-1</f>
        <v>3</v>
      </c>
      <c r="L15" s="11" t="str">
        <f>INDEX(B4:I25,MATCH(12,K4:K25,0),1)</f>
        <v>Mielec</v>
      </c>
      <c r="M15" s="1">
        <f>INDEX(B4:I25,MATCH(12,K4:K25,0),3)</f>
        <v>57.142857142857139</v>
      </c>
    </row>
    <row r="16" spans="1:13" x14ac:dyDescent="0.25">
      <c r="A16" s="9">
        <v>13</v>
      </c>
      <c r="B16" s="2" t="s">
        <v>81</v>
      </c>
      <c r="C16" s="1">
        <f>SUM(P.25!U40)</f>
        <v>77.5</v>
      </c>
      <c r="D16" s="296">
        <f>SUM(P.25!V40)</f>
        <v>90.243902439024396</v>
      </c>
      <c r="E16" s="1">
        <f>SUM(P.25!W40)</f>
        <v>83.769633507853399</v>
      </c>
      <c r="F16" s="1">
        <f>SUMIF(P.25!X40,"&gt;1",(P.25!X40))</f>
        <v>81.818181818181827</v>
      </c>
      <c r="G16" s="1">
        <f>SUM(P.25!Y40)</f>
        <v>93.442622950819683</v>
      </c>
      <c r="H16" s="1">
        <f>SUM(P.25!Z40)</f>
        <v>85.365853658536579</v>
      </c>
      <c r="I16" s="1">
        <f>SUM(P.25!AA40)</f>
        <v>88.888888888888886</v>
      </c>
      <c r="J16" s="2">
        <v>1814</v>
      </c>
      <c r="K16" s="59">
        <f>RANK(D16,$D$4:$D$25,1)+COUNTIF($D$4:D16,D16)-1</f>
        <v>20</v>
      </c>
      <c r="L16" s="58" t="str">
        <f>INDEX(B4:I25,MATCH(13,K4:K25,0),1)</f>
        <v>Lesko</v>
      </c>
      <c r="M16" s="15">
        <f>INDEX(B4:I25,MATCH(13,K4:K25,0),3)</f>
        <v>61.53846153846154</v>
      </c>
    </row>
    <row r="17" spans="1:13" x14ac:dyDescent="0.25">
      <c r="A17" s="9">
        <v>14</v>
      </c>
      <c r="B17" s="2" t="s">
        <v>82</v>
      </c>
      <c r="C17" s="1">
        <f>SUM(P.25!U41)</f>
        <v>79.816513761467888</v>
      </c>
      <c r="D17" s="296">
        <f>SUM(P.25!V41)</f>
        <v>79.166666666666657</v>
      </c>
      <c r="E17" s="1">
        <f>SUM(P.25!W41)</f>
        <v>80.188679245283026</v>
      </c>
      <c r="F17" s="1">
        <f>SUMIF(P.25!X41,"&gt;1",(P.25!X41))</f>
        <v>94.339622641509436</v>
      </c>
      <c r="G17" s="1">
        <f>SUM(P.25!Y41)</f>
        <v>96.969696969696969</v>
      </c>
      <c r="H17" s="1">
        <f>SUM(P.25!Z41)</f>
        <v>79.381443298969074</v>
      </c>
      <c r="I17" s="1">
        <f>SUM(P.25!AA41)</f>
        <v>92.307692307692307</v>
      </c>
      <c r="J17" s="2">
        <v>1815</v>
      </c>
      <c r="K17" s="59">
        <f>RANK(D17,$D$4:$D$25,1)+COUNTIF($D$4:D17,D17)-1</f>
        <v>19</v>
      </c>
      <c r="L17" s="14" t="str">
        <f>INDEX(B4:I25,MATCH(14,K4:K25,0),1)</f>
        <v>Sanok</v>
      </c>
      <c r="M17" s="1">
        <f>INDEX(B4:I25,MATCH(14,K4:K25,0),3)</f>
        <v>61.855670103092784</v>
      </c>
    </row>
    <row r="18" spans="1:13" x14ac:dyDescent="0.25">
      <c r="A18" s="299">
        <v>15</v>
      </c>
      <c r="B18" s="298" t="s">
        <v>83</v>
      </c>
      <c r="C18" s="95">
        <f>SUM(P.25!U43)</f>
        <v>79.514824797843659</v>
      </c>
      <c r="D18" s="297">
        <f>SUM(P.25!V43)</f>
        <v>47.10144927536232</v>
      </c>
      <c r="E18" s="95">
        <f>SUM(P.25!W43)</f>
        <v>91.095890410958901</v>
      </c>
      <c r="F18" s="95">
        <f>SUMIF(P.25!X43,"&gt;1",(P.25!X43))</f>
        <v>99.038461538461547</v>
      </c>
      <c r="G18" s="95">
        <f>SUM(P.25!Y43)</f>
        <v>98.498498498498492</v>
      </c>
      <c r="H18" s="95">
        <f>SUM(P.25!Z43)</f>
        <v>89.029535864978897</v>
      </c>
      <c r="I18" s="95">
        <f>SUM(P.25!AA43)</f>
        <v>95.945945945945937</v>
      </c>
      <c r="J18" s="298" t="s">
        <v>136</v>
      </c>
      <c r="K18" s="12">
        <f>RANK(D18,$D$4:$D$25,1)+COUNTIF($D$4:D18,D18)-1</f>
        <v>7</v>
      </c>
      <c r="L18" s="2" t="str">
        <f>INDEX(B4:I25,MATCH(15,K4:K25,0),1)</f>
        <v>Strzyżów</v>
      </c>
      <c r="M18" s="1">
        <f>INDEX(B4:I25,MATCH(15,K4:K25,0),3)</f>
        <v>63.768115942028977</v>
      </c>
    </row>
    <row r="19" spans="1:13" x14ac:dyDescent="0.25">
      <c r="A19" s="9">
        <v>16</v>
      </c>
      <c r="B19" s="2" t="s">
        <v>84</v>
      </c>
      <c r="C19" s="1">
        <f>SUM(P.25!U44)</f>
        <v>79.646017699115049</v>
      </c>
      <c r="D19" s="296">
        <f>SUM(P.25!V44)</f>
        <v>61.855670103092784</v>
      </c>
      <c r="E19" s="1">
        <f>SUM(P.25!W44)</f>
        <v>93.421052631578945</v>
      </c>
      <c r="F19" s="1">
        <f>SUMIF(P.25!X44,"&gt;1",(P.25!X44))</f>
        <v>88.888888888888886</v>
      </c>
      <c r="G19" s="1">
        <f>SUM(P.25!Y44)</f>
        <v>97.27272727272728</v>
      </c>
      <c r="H19" s="1">
        <f>SUM(P.25!Z44)</f>
        <v>92.20779220779221</v>
      </c>
      <c r="I19" s="1">
        <f>SUM(P.25!AA44)</f>
        <v>94.444444444444443</v>
      </c>
      <c r="J19" s="2">
        <v>1817</v>
      </c>
      <c r="K19" s="12">
        <f>RANK(D19,$D$4:$D$25,1)+COUNTIF($D$4:D19,D19)-1</f>
        <v>14</v>
      </c>
      <c r="L19" s="2" t="str">
        <f>INDEX(B4:I25,MATCH(16,K4:K25,0),1)</f>
        <v>Przemyśl</v>
      </c>
      <c r="M19" s="1">
        <f>INDEX(B4:I25,MATCH(16,K4:K25,0),3)</f>
        <v>65.517241379310349</v>
      </c>
    </row>
    <row r="20" spans="1:13" x14ac:dyDescent="0.25">
      <c r="A20" s="9">
        <v>17</v>
      </c>
      <c r="B20" s="2" t="s">
        <v>85</v>
      </c>
      <c r="C20" s="1">
        <f>SUM(P.25!U45)</f>
        <v>85.051546391752581</v>
      </c>
      <c r="D20" s="296">
        <f>SUM(P.25!V45)</f>
        <v>56.756756756756758</v>
      </c>
      <c r="E20" s="1">
        <f>SUM(P.25!W45)</f>
        <v>100</v>
      </c>
      <c r="F20" s="1">
        <f>SUMIF(P.25!X45,"&gt;1",(P.25!X45))</f>
        <v>100</v>
      </c>
      <c r="G20" s="1">
        <f>SUM(P.25!Y45)</f>
        <v>96.721311475409834</v>
      </c>
      <c r="H20" s="1">
        <f>SUM(P.25!Z45)</f>
        <v>91.83673469387756</v>
      </c>
      <c r="I20" s="1">
        <f>SUM(P.25!AA45)</f>
        <v>87.096774193548384</v>
      </c>
      <c r="J20" s="2">
        <v>1818</v>
      </c>
      <c r="K20" s="12">
        <f>RANK(D20,$D$4:$D$25,1)+COUNTIF($D$4:D20,D20)-1</f>
        <v>11</v>
      </c>
      <c r="L20" s="2" t="str">
        <f>INDEX(B4:I25,MATCH(17,K4:K25,0),1)</f>
        <v>Dębica</v>
      </c>
      <c r="M20" s="1">
        <f>INDEX(B4:I25,MATCH(17,K4:K25,0),3)</f>
        <v>66.666666666666657</v>
      </c>
    </row>
    <row r="21" spans="1:13" x14ac:dyDescent="0.25">
      <c r="A21" s="9">
        <v>18</v>
      </c>
      <c r="B21" s="2" t="s">
        <v>86</v>
      </c>
      <c r="C21" s="1">
        <f>SUM(P.25!U46)</f>
        <v>84.859154929577457</v>
      </c>
      <c r="D21" s="296">
        <f>SUM(P.25!V46)</f>
        <v>63.768115942028977</v>
      </c>
      <c r="E21" s="1">
        <f>SUM(P.25!W46)</f>
        <v>100</v>
      </c>
      <c r="F21" s="1">
        <f>SUMIF(P.25!X46,"&gt;1",(P.25!X46))</f>
        <v>98.290598290598282</v>
      </c>
      <c r="G21" s="1">
        <f>SUM(P.25!Y46)</f>
        <v>100</v>
      </c>
      <c r="H21" s="1">
        <f>SUM(P.25!Z46)</f>
        <v>94.666666666666671</v>
      </c>
      <c r="I21" s="1">
        <f>SUM(P.25!AA46)</f>
        <v>88.888888888888886</v>
      </c>
      <c r="J21" s="2">
        <v>1819</v>
      </c>
      <c r="K21" s="12">
        <f>RANK(D21,$D$4:$D$25,1)+COUNTIF($D$4:D21,D21)-1</f>
        <v>15</v>
      </c>
      <c r="L21" s="2" t="str">
        <f>INDEX(B4:I25,MATCH(18,K4:K25,0),1)</f>
        <v>Jarosław</v>
      </c>
      <c r="M21" s="1">
        <f>INDEX(B4:I25,MATCH(18,K4:K25,0),3)</f>
        <v>72.727272727272734</v>
      </c>
    </row>
    <row r="22" spans="1:13" x14ac:dyDescent="0.25">
      <c r="A22" s="299">
        <v>19</v>
      </c>
      <c r="B22" s="298" t="s">
        <v>87</v>
      </c>
      <c r="C22" s="95">
        <f>SUM(P.25!U47)</f>
        <v>84.491978609625676</v>
      </c>
      <c r="D22" s="297">
        <f>SUM(P.25!V47)</f>
        <v>44.444444444444443</v>
      </c>
      <c r="E22" s="95">
        <f>SUM(P.25!W47)</f>
        <v>97.849462365591393</v>
      </c>
      <c r="F22" s="95">
        <f>SUMIF(P.25!X47,"&gt;1",(P.25!X47))</f>
        <v>99.371069182389931</v>
      </c>
      <c r="G22" s="95">
        <f>SUM(P.25!Y47)</f>
        <v>97.560975609756099</v>
      </c>
      <c r="H22" s="95">
        <f>SUM(P.25!Z47)</f>
        <v>100</v>
      </c>
      <c r="I22" s="95">
        <f>SUM(P.25!AA47)</f>
        <v>100</v>
      </c>
      <c r="J22" s="298" t="s">
        <v>137</v>
      </c>
      <c r="K22" s="12">
        <f>RANK(D22,$D$4:$D$25,1)+COUNTIF($D$4:D22,D22)-1</f>
        <v>6</v>
      </c>
      <c r="L22" s="2" t="str">
        <f>INDEX(B4:I25,MATCH(19,K4:K25,0),1)</f>
        <v>Ropczyce</v>
      </c>
      <c r="M22" s="1">
        <f>INDEX(B4:I25,MATCH(19,K4:K25,0),3)</f>
        <v>79.166666666666657</v>
      </c>
    </row>
    <row r="23" spans="1:13" x14ac:dyDescent="0.25">
      <c r="A23" s="9">
        <v>20</v>
      </c>
      <c r="B23" s="2" t="s">
        <v>88</v>
      </c>
      <c r="C23" s="1">
        <f>SUM(P.25!U48)</f>
        <v>88.461538461538453</v>
      </c>
      <c r="D23" s="296">
        <f>SUM(P.25!V48)</f>
        <v>61.53846153846154</v>
      </c>
      <c r="E23" s="1">
        <f>SUM(P.25!W48)</f>
        <v>89.743589743589752</v>
      </c>
      <c r="F23" s="1">
        <f>SUMIF(P.25!X48,"&gt;1",(P.25!X48))</f>
        <v>96.969696969696969</v>
      </c>
      <c r="G23" s="1">
        <f>SUM(P.25!Y48)</f>
        <v>92.1875</v>
      </c>
      <c r="H23" s="1">
        <f>SUM(P.25!Z48)</f>
        <v>100</v>
      </c>
      <c r="I23" s="1">
        <f>SUM(P.25!AA48)</f>
        <v>77.272727272727266</v>
      </c>
      <c r="J23" s="2">
        <v>1821</v>
      </c>
      <c r="K23" s="12">
        <f>RANK(D23,$D$4:$D$25,1)+COUNTIF($D$4:D23,D23)-1</f>
        <v>13</v>
      </c>
      <c r="L23" s="2" t="str">
        <f>INDEX(B4:I25,MATCH(20,K4:K25,0),1)</f>
        <v>Przeworsk</v>
      </c>
      <c r="M23" s="1">
        <f>INDEX(B4:I25,MATCH(20,K4:K25,0),3)</f>
        <v>90.243902439024396</v>
      </c>
    </row>
    <row r="24" spans="1:13" x14ac:dyDescent="0.25">
      <c r="A24" s="299">
        <v>21</v>
      </c>
      <c r="B24" s="298" t="s">
        <v>91</v>
      </c>
      <c r="C24" s="95">
        <f>SUM(P.25!U49)</f>
        <v>89.629629629629619</v>
      </c>
      <c r="D24" s="297">
        <f>SUM(P.25!V49)</f>
        <v>65.517241379310349</v>
      </c>
      <c r="E24" s="95">
        <f>SUM(P.25!W49)</f>
        <v>98.888888888888886</v>
      </c>
      <c r="F24" s="95">
        <f>SUMIF(P.25!X49,"&gt;1",(P.25!X49))</f>
        <v>94.444444444444443</v>
      </c>
      <c r="G24" s="95">
        <f>SUM(P.25!Y49)</f>
        <v>94.078947368421055</v>
      </c>
      <c r="H24" s="95">
        <f>SUM(P.25!Z49)</f>
        <v>92.134831460674164</v>
      </c>
      <c r="I24" s="95">
        <f>SUM(P.25!AA49)</f>
        <v>56.684491978609628</v>
      </c>
      <c r="J24" s="298" t="s">
        <v>135</v>
      </c>
      <c r="K24" s="12">
        <f>RANK(D24,$D$4:$D$25,1)+COUNTIF($D$4:D24,D24)-1</f>
        <v>16</v>
      </c>
      <c r="L24" s="2" t="str">
        <f>INDEX(B4:I25,MATCH(21,K4:K25,0),1)</f>
        <v>Brzozów</v>
      </c>
      <c r="M24" s="1">
        <f>INDEX(B4:I25,MATCH(21,K4:K25,0),3)</f>
        <v>94.444444444444443</v>
      </c>
    </row>
    <row r="25" spans="1:13" x14ac:dyDescent="0.25">
      <c r="A25" s="9">
        <v>22</v>
      </c>
      <c r="B25" s="11" t="s">
        <v>94</v>
      </c>
      <c r="C25" s="1">
        <f>SUM(P.25!U50)</f>
        <v>82.448610797379715</v>
      </c>
      <c r="D25" s="296">
        <f>SUM(P.25!V50)</f>
        <v>51.242236024844722</v>
      </c>
      <c r="E25" s="1">
        <f>SUM(P.25!W50)</f>
        <v>93.262653898768804</v>
      </c>
      <c r="F25" s="1">
        <f>SUMIF(P.25!X50,"&gt;1",(P.25!X50))</f>
        <v>96.568977841315231</v>
      </c>
      <c r="G25" s="1">
        <f>SUM(P.25!Y50)</f>
        <v>97.348066298342545</v>
      </c>
      <c r="H25" s="1">
        <f>SUM(P.25!Z50)</f>
        <v>89.86486486486487</v>
      </c>
      <c r="I25" s="1">
        <f>SUM(P.25!AA50)</f>
        <v>82.754759238521842</v>
      </c>
      <c r="J25" s="2">
        <v>1800</v>
      </c>
      <c r="K25" s="12">
        <f>RANK(D25,$D$4:$D$25,1)+COUNTIF($D$4:D25,D25)-1</f>
        <v>8</v>
      </c>
      <c r="L25" s="2" t="str">
        <f>INDEX(B4:I25,MATCH(22,K4:K25,0),1)</f>
        <v>Lubaczów</v>
      </c>
      <c r="M25" s="1">
        <f>INDEX(B4:I25,MATCH(22,K4:K25,0),3)</f>
        <v>100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</row>
    <row r="28" spans="1:13" x14ac:dyDescent="0.25">
      <c r="A28" s="294">
        <v>2</v>
      </c>
      <c r="B28" s="295" t="s">
        <v>2</v>
      </c>
      <c r="C28" s="8" t="s">
        <v>143</v>
      </c>
      <c r="D28" s="17"/>
      <c r="E28" s="17"/>
      <c r="F28" s="17"/>
      <c r="G28" s="17"/>
      <c r="H28" s="17"/>
      <c r="I28" s="17"/>
      <c r="J28" s="17"/>
      <c r="K28" s="8"/>
    </row>
    <row r="29" spans="1:13" x14ac:dyDescent="0.25">
      <c r="A29" s="9">
        <v>3</v>
      </c>
      <c r="B29" s="10" t="s">
        <v>3</v>
      </c>
      <c r="C29" s="8" t="s">
        <v>143</v>
      </c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65900-970F-436E-B1C3-4E61045E9EA4}">
  <sheetPr>
    <tabColor theme="0"/>
  </sheetPr>
  <dimension ref="A1:M33"/>
  <sheetViews>
    <sheetView zoomScale="80" zoomScaleNormal="80" workbookViewId="0">
      <selection activeCell="C1" sqref="C1"/>
    </sheetView>
  </sheetViews>
  <sheetFormatPr defaultRowHeight="15" x14ac:dyDescent="0.25"/>
  <cols>
    <col min="1" max="1" width="5.140625" style="8" customWidth="1"/>
    <col min="2" max="2" width="13.42578125" style="8" customWidth="1"/>
    <col min="3" max="3" width="8.28515625" style="8" customWidth="1"/>
    <col min="4" max="4" width="9.140625" style="8"/>
    <col min="5" max="5" width="11" style="8" customWidth="1"/>
    <col min="6" max="6" width="10.5703125" style="8" customWidth="1"/>
    <col min="7" max="7" width="10" style="8" customWidth="1"/>
    <col min="8" max="9" width="11.28515625" style="8" customWidth="1"/>
    <col min="10" max="10" width="11.5703125" style="5" customWidth="1"/>
    <col min="11" max="11" width="7.85546875" style="5" customWidth="1"/>
    <col min="12" max="12" width="14.42578125" style="5" customWidth="1"/>
    <col min="13" max="13" width="11.5703125" style="8" customWidth="1"/>
    <col min="14" max="16384" width="9.140625" style="8"/>
  </cols>
  <sheetData>
    <row r="1" spans="1:13" x14ac:dyDescent="0.25">
      <c r="A1" s="8" t="s">
        <v>146</v>
      </c>
      <c r="B1" s="471">
        <v>2025</v>
      </c>
    </row>
    <row r="2" spans="1:13" x14ac:dyDescent="0.25">
      <c r="A2" s="8" t="s">
        <v>298</v>
      </c>
    </row>
    <row r="3" spans="1:13" x14ac:dyDescent="0.25">
      <c r="A3" s="294">
        <f>SUM(P.!K26)</f>
        <v>0</v>
      </c>
      <c r="B3" s="295" t="s">
        <v>95</v>
      </c>
      <c r="C3" s="294" t="s">
        <v>127</v>
      </c>
      <c r="D3" s="294" t="s">
        <v>126</v>
      </c>
      <c r="E3" s="294" t="s">
        <v>140</v>
      </c>
      <c r="F3" s="463" t="s">
        <v>130</v>
      </c>
      <c r="G3" s="294" t="s">
        <v>141</v>
      </c>
      <c r="H3" s="294" t="s">
        <v>139</v>
      </c>
      <c r="I3" s="294" t="s">
        <v>276</v>
      </c>
      <c r="J3" s="294"/>
      <c r="K3" s="294" t="s">
        <v>67</v>
      </c>
      <c r="L3" s="294" t="s">
        <v>142</v>
      </c>
      <c r="M3" s="462" t="s">
        <v>138</v>
      </c>
    </row>
    <row r="4" spans="1:13" x14ac:dyDescent="0.25">
      <c r="A4" s="9">
        <v>1</v>
      </c>
      <c r="B4" s="2" t="s">
        <v>69</v>
      </c>
      <c r="C4" s="1">
        <f>SUM(P.25!U27)</f>
        <v>87.628865979381445</v>
      </c>
      <c r="D4" s="1">
        <f>SUM(P.25!V27)</f>
        <v>53.846153846153847</v>
      </c>
      <c r="E4" s="296">
        <f>SUM(P.25!W27)</f>
        <v>96.226415094339629</v>
      </c>
      <c r="F4" s="1">
        <f>SUMIF(P.25!X27,"&gt;1",(P.25!X27))</f>
        <v>100</v>
      </c>
      <c r="G4" s="1">
        <f>SUMIF(P.25!Y27,"&gt;1",(P.25!Y27))</f>
        <v>97.560975609756099</v>
      </c>
      <c r="H4" s="1">
        <f>SUMIF(P.25!Z27,"&gt;1",(P.25!Z27))</f>
        <v>100</v>
      </c>
      <c r="I4" s="1">
        <f>SUMIF(P.25!AA27,"&gt;1",(P.25!AA27))</f>
        <v>76.923076923076934</v>
      </c>
      <c r="J4" s="2">
        <v>1801</v>
      </c>
      <c r="K4" s="12">
        <f>RANK(E4,$E$4:$E$25,1)+COUNTIF($E$4:E4,E4)-1</f>
        <v>11</v>
      </c>
      <c r="L4" s="2" t="str">
        <f>INDEX(B4:I25,MATCH(1,K4:K25,0),1)</f>
        <v>Ropczyce</v>
      </c>
      <c r="M4" s="1">
        <f>INDEX(B4:I25,MATCH(1,K4:K25,0),4)</f>
        <v>80.188679245283026</v>
      </c>
    </row>
    <row r="5" spans="1:13" x14ac:dyDescent="0.25">
      <c r="A5" s="9">
        <v>2</v>
      </c>
      <c r="B5" s="2" t="s">
        <v>70</v>
      </c>
      <c r="C5" s="1">
        <f>SUM(P.25!U28)</f>
        <v>88.135593220338976</v>
      </c>
      <c r="D5" s="1">
        <f>SUM(P.25!V28)</f>
        <v>94.444444444444443</v>
      </c>
      <c r="E5" s="296">
        <f>SUM(P.25!W28)</f>
        <v>98.550724637681171</v>
      </c>
      <c r="F5" s="1">
        <f>SUMIF(P.25!X28,"&gt;1",(P.25!X28))</f>
        <v>100</v>
      </c>
      <c r="G5" s="1">
        <f>SUM(P.25!Y28)</f>
        <v>99.242424242424249</v>
      </c>
      <c r="H5" s="1">
        <f>SUM(P.25!Z28)</f>
        <v>97.916666666666657</v>
      </c>
      <c r="I5" s="1">
        <f>SUM(P.25!AA28)</f>
        <v>89.830508474576277</v>
      </c>
      <c r="J5" s="2">
        <v>1802</v>
      </c>
      <c r="K5" s="12">
        <f>RANK(E5,$E$4:$E$25,1)+COUNTIF($E$4:E5,E5)-1</f>
        <v>16</v>
      </c>
      <c r="L5" s="11" t="str">
        <f>INDEX(B4:I25,MATCH(2,K4:K25,0),1)</f>
        <v>Mielec</v>
      </c>
      <c r="M5" s="1">
        <f>INDEX(B4:I25,MATCH(2,K4:K25,0),4)</f>
        <v>80.314960629921259</v>
      </c>
    </row>
    <row r="6" spans="1:13" x14ac:dyDescent="0.25">
      <c r="A6" s="9">
        <v>3</v>
      </c>
      <c r="B6" s="2" t="s">
        <v>71</v>
      </c>
      <c r="C6" s="1">
        <f>SUM(P.25!U29)</f>
        <v>67.5</v>
      </c>
      <c r="D6" s="1">
        <f>SUM(P.25!V29)</f>
        <v>66.666666666666657</v>
      </c>
      <c r="E6" s="296">
        <f>SUM(P.25!W29)</f>
        <v>97.354497354497354</v>
      </c>
      <c r="F6" s="1">
        <f>SUMIF(P.25!X29,"&gt;1",(P.25!X29))</f>
        <v>100</v>
      </c>
      <c r="G6" s="1">
        <f>SUM(P.25!Y29)</f>
        <v>100</v>
      </c>
      <c r="H6" s="1">
        <f>SUM(P.25!Z29)</f>
        <v>100</v>
      </c>
      <c r="I6" s="1">
        <f>SUM(P.25!AA29)</f>
        <v>93.548387096774192</v>
      </c>
      <c r="J6" s="2">
        <v>1803</v>
      </c>
      <c r="K6" s="12">
        <f>RANK(E6,$E$4:$E$25,1)+COUNTIF($E$4:E6,E6)-1</f>
        <v>13</v>
      </c>
      <c r="L6" s="11" t="str">
        <f>INDEX(B4:I25,MATCH(3,K4:K25,0),1)</f>
        <v>Przeworsk</v>
      </c>
      <c r="M6" s="1">
        <f>INDEX(B4:I25,MATCH(3,K4:K25,0),4)</f>
        <v>83.769633507853399</v>
      </c>
    </row>
    <row r="7" spans="1:13" x14ac:dyDescent="0.25">
      <c r="A7" s="9">
        <v>4</v>
      </c>
      <c r="B7" s="2" t="s">
        <v>72</v>
      </c>
      <c r="C7" s="1">
        <f>SUM(P.25!U30)</f>
        <v>88.549618320610691</v>
      </c>
      <c r="D7" s="1">
        <f>SUM(P.25!V30)</f>
        <v>72.727272727272734</v>
      </c>
      <c r="E7" s="296">
        <f>SUM(P.25!W30)</f>
        <v>98.425196850393704</v>
      </c>
      <c r="F7" s="1">
        <f>SUMIF(P.25!X30,"&gt;1",(P.25!X30))</f>
        <v>98.290598290598282</v>
      </c>
      <c r="G7" s="1">
        <f>SUM(P.25!Y30)</f>
        <v>100</v>
      </c>
      <c r="H7" s="1">
        <f>SUM(P.25!Z30)</f>
        <v>99.193548387096769</v>
      </c>
      <c r="I7" s="1">
        <f>SUM(P.25!AA30)</f>
        <v>80.645161290322577</v>
      </c>
      <c r="J7" s="2">
        <v>1804</v>
      </c>
      <c r="K7" s="12">
        <f>RANK(E7,$E$4:$E$25,1)+COUNTIF($E$4:E7,E7)-1</f>
        <v>15</v>
      </c>
      <c r="L7" s="11" t="str">
        <f>INDEX(B4:I25,MATCH(4,K4:K25,0),1)</f>
        <v>Nisko</v>
      </c>
      <c r="M7" s="1">
        <f>INDEX(B4:I25,MATCH(4,K4:K25,0),4)</f>
        <v>87.937743190661479</v>
      </c>
    </row>
    <row r="8" spans="1:13" x14ac:dyDescent="0.25">
      <c r="A8" s="9">
        <v>5</v>
      </c>
      <c r="B8" s="2" t="s">
        <v>73</v>
      </c>
      <c r="C8" s="1">
        <f>SUM(P.25!U31)</f>
        <v>87.793427230046944</v>
      </c>
      <c r="D8" s="1">
        <f>SUM(P.25!V31)</f>
        <v>40.54054054054054</v>
      </c>
      <c r="E8" s="296">
        <f>SUM(P.25!W31)</f>
        <v>92.592592592592595</v>
      </c>
      <c r="F8" s="1">
        <f>SUMIF(P.25!X31,"&gt;1",(P.25!X31))</f>
        <v>95.3125</v>
      </c>
      <c r="G8" s="1">
        <f>SUM(P.25!Y31)</f>
        <v>97.247706422018354</v>
      </c>
      <c r="H8" s="1">
        <f>SUM(P.25!Z31)</f>
        <v>86.021505376344081</v>
      </c>
      <c r="I8" s="1">
        <f>SUM(P.25!AA31)</f>
        <v>84.090909090909093</v>
      </c>
      <c r="J8" s="2">
        <v>1805</v>
      </c>
      <c r="K8" s="12">
        <f>RANK(E8,$E$4:$E$25,1)+COUNTIF($E$4:E8,E8)-1</f>
        <v>7</v>
      </c>
      <c r="L8" s="11" t="str">
        <f>INDEX(B4:I25,MATCH(5,K4:K25,0),1)</f>
        <v>Lesko</v>
      </c>
      <c r="M8" s="1">
        <f>INDEX(B4:I25,MATCH(5,K4:K25,0),4)</f>
        <v>89.743589743589752</v>
      </c>
    </row>
    <row r="9" spans="1:13" x14ac:dyDescent="0.25">
      <c r="A9" s="9">
        <v>6</v>
      </c>
      <c r="B9" s="2" t="s">
        <v>74</v>
      </c>
      <c r="C9" s="1">
        <f>SUM(P.25!U32)</f>
        <v>87.387387387387378</v>
      </c>
      <c r="D9" s="1">
        <f>SUM(P.25!V32)</f>
        <v>40</v>
      </c>
      <c r="E9" s="296">
        <f>SUM(P.25!W32)</f>
        <v>96.774193548387103</v>
      </c>
      <c r="F9" s="1">
        <f>SUMIF(P.25!X32,"&gt;1",(P.25!X32))</f>
        <v>94.117647058823522</v>
      </c>
      <c r="G9" s="1">
        <f>SUM(P.25!Y32)</f>
        <v>100</v>
      </c>
      <c r="H9" s="1">
        <f>SUM(P.25!Z32)</f>
        <v>98.591549295774655</v>
      </c>
      <c r="I9" s="562">
        <f>SUMIF(P.25!AA32,"&gt;1",(P.25!AA32))</f>
        <v>0</v>
      </c>
      <c r="J9" s="2">
        <v>1806</v>
      </c>
      <c r="K9" s="12">
        <f>RANK(E9,$E$4:$E$25,1)+COUNTIF($E$4:E9,E9)-1</f>
        <v>12</v>
      </c>
      <c r="L9" s="11" t="str">
        <f>INDEX(B4:I25,MATCH(6,K4:K25,0),1)</f>
        <v>Rzeszów</v>
      </c>
      <c r="M9" s="1">
        <f>INDEX(B4:I25,MATCH(6,K4:K25,0),4)</f>
        <v>91.095890410958901</v>
      </c>
    </row>
    <row r="10" spans="1:13" x14ac:dyDescent="0.25">
      <c r="A10" s="299">
        <v>7</v>
      </c>
      <c r="B10" s="298" t="s">
        <v>75</v>
      </c>
      <c r="C10" s="95">
        <f>SUM(P.25!U33)</f>
        <v>86.666666666666671</v>
      </c>
      <c r="D10" s="95">
        <f>SUM(P.25!V33)</f>
        <v>43.75</v>
      </c>
      <c r="E10" s="297">
        <f>SUM(P.25!W33)</f>
        <v>100</v>
      </c>
      <c r="F10" s="95">
        <f>SUMIF(P.25!X33,"&gt;1",(P.25!X33))</f>
        <v>100</v>
      </c>
      <c r="G10" s="95">
        <f>SUM(P.25!Y33)</f>
        <v>100</v>
      </c>
      <c r="H10" s="95">
        <f>SUM(P.25!Z33)</f>
        <v>83.15789473684211</v>
      </c>
      <c r="I10" s="95">
        <f>SUM(P.25!AA33)</f>
        <v>97.058823529411768</v>
      </c>
      <c r="J10" s="298" t="s">
        <v>134</v>
      </c>
      <c r="K10" s="12">
        <f>RANK(E10,$E$4:$E$25,1)+COUNTIF($E$4:E10,E10)-1</f>
        <v>20</v>
      </c>
      <c r="L10" s="11" t="str">
        <f>INDEX(B4:I25,MATCH(7,K4:K25,0),1)</f>
        <v>Jasło</v>
      </c>
      <c r="M10" s="1">
        <f>INDEX(B4:I25,MATCH(7,K4:K25,0),4)</f>
        <v>92.592592592592595</v>
      </c>
    </row>
    <row r="11" spans="1:13" x14ac:dyDescent="0.25">
      <c r="A11" s="9">
        <v>8</v>
      </c>
      <c r="B11" s="2" t="s">
        <v>76</v>
      </c>
      <c r="C11" s="1">
        <f>SUM(P.25!U35)</f>
        <v>85.318559556786695</v>
      </c>
      <c r="D11" s="1">
        <f>SUM(P.25!V35)</f>
        <v>18.604651162790699</v>
      </c>
      <c r="E11" s="296">
        <f>SUM(P.25!W35)</f>
        <v>95.945945945945937</v>
      </c>
      <c r="F11" s="1">
        <f>SUMIF(P.25!X35,"&gt;1",(P.25!X35))</f>
        <v>97.163120567375884</v>
      </c>
      <c r="G11" s="1">
        <f>SUM(P.25!Y35)</f>
        <v>89.393939393939391</v>
      </c>
      <c r="H11" s="1">
        <f>SUM(P.25!Z35)</f>
        <v>78.94736842105263</v>
      </c>
      <c r="I11" s="1">
        <f>SUM(P.25!AA35)</f>
        <v>87.5</v>
      </c>
      <c r="J11" s="2">
        <v>1808</v>
      </c>
      <c r="K11" s="12">
        <f>RANK(E11,$E$4:$E$25,1)+COUNTIF($E$4:E11,E11)-1</f>
        <v>10</v>
      </c>
      <c r="L11" s="300" t="str">
        <f>INDEX(B4:I25,MATCH(8,K4:K25,0),1)</f>
        <v>Podkarpacie</v>
      </c>
      <c r="M11" s="296">
        <f>INDEX(B4:I25,MATCH(8,K4:K25,0),4)</f>
        <v>93.262653898768804</v>
      </c>
    </row>
    <row r="12" spans="1:13" x14ac:dyDescent="0.25">
      <c r="A12" s="9">
        <v>9</v>
      </c>
      <c r="B12" s="2" t="s">
        <v>77</v>
      </c>
      <c r="C12" s="1">
        <f>SUM(P.25!U36)</f>
        <v>85.507246376811594</v>
      </c>
      <c r="D12" s="1">
        <f>SUM(P.25!V36)</f>
        <v>100</v>
      </c>
      <c r="E12" s="296">
        <f>SUM(P.25!W36)</f>
        <v>98.666666666666671</v>
      </c>
      <c r="F12" s="1">
        <f>SUMIF(P.25!X36,"&gt;1",(P.25!X36))</f>
        <v>100</v>
      </c>
      <c r="G12" s="1">
        <f>SUM(P.25!Y36)</f>
        <v>100</v>
      </c>
      <c r="H12" s="296">
        <f>SUMIF(P.25!Z36,"&gt;1",(P.25!Z36))</f>
        <v>100</v>
      </c>
      <c r="I12" s="1">
        <f>SUM(P.25!AA36)</f>
        <v>90.277777777777786</v>
      </c>
      <c r="J12" s="2">
        <v>1809</v>
      </c>
      <c r="K12" s="12">
        <f>RANK(E12,$E$4:$E$25,1)+COUNTIF($E$4:E12,E12)-1</f>
        <v>17</v>
      </c>
      <c r="L12" s="57" t="str">
        <f>INDEX(B4:I25,MATCH(9,K4:K25,0),1)</f>
        <v>Sanok</v>
      </c>
      <c r="M12" s="15">
        <f>INDEX(B4:I25,MATCH(9,K4:K25,0),4)</f>
        <v>93.421052631578945</v>
      </c>
    </row>
    <row r="13" spans="1:13" x14ac:dyDescent="0.25">
      <c r="A13" s="9">
        <v>10</v>
      </c>
      <c r="B13" s="2" t="s">
        <v>78</v>
      </c>
      <c r="C13" s="1">
        <f>SUM(P.25!U37)</f>
        <v>75.352112676056336</v>
      </c>
      <c r="D13" s="1">
        <f>SUM(P.25!V37)</f>
        <v>52.459016393442624</v>
      </c>
      <c r="E13" s="296">
        <f>SUM(P.25!W37)</f>
        <v>99.173553719008268</v>
      </c>
      <c r="F13" s="1">
        <f>SUMIF(P.25!X37,"&gt;1",(P.25!X37))</f>
        <v>100</v>
      </c>
      <c r="G13" s="1">
        <f>SUM(P.25!Y37)</f>
        <v>93.243243243243242</v>
      </c>
      <c r="H13" s="1">
        <f>SUM(P.25!Z37)</f>
        <v>85.507246376811594</v>
      </c>
      <c r="I13" s="1">
        <f>SUM(P.25!AA37)</f>
        <v>95.833333333333343</v>
      </c>
      <c r="J13" s="2">
        <v>1810</v>
      </c>
      <c r="K13" s="12">
        <f>RANK(E13,$E$4:$E$25,1)+COUNTIF($E$4:E13,E13)-1</f>
        <v>19</v>
      </c>
      <c r="L13" s="11" t="str">
        <f>INDEX(B4:I25,MATCH(10,K4:K25,0),1)</f>
        <v>Leżajsk</v>
      </c>
      <c r="M13" s="1">
        <f>INDEX(B4:I25,MATCH(10,K4:K25,0),4)</f>
        <v>95.945945945945937</v>
      </c>
    </row>
    <row r="14" spans="1:13" x14ac:dyDescent="0.25">
      <c r="A14" s="9">
        <v>11</v>
      </c>
      <c r="B14" s="2" t="s">
        <v>79</v>
      </c>
      <c r="C14" s="1">
        <f>SUM(P.25!U38)</f>
        <v>78.542510121457482</v>
      </c>
      <c r="D14" s="1">
        <f>SUM(P.25!V38)</f>
        <v>57.142857142857139</v>
      </c>
      <c r="E14" s="296">
        <f>SUM(P.25!W38)</f>
        <v>80.314960629921259</v>
      </c>
      <c r="F14" s="1">
        <f>SUMIF(P.25!X38,"&gt;1",(P.25!X38))</f>
        <v>100</v>
      </c>
      <c r="G14" s="1">
        <f>SUM(P.25!Y38)</f>
        <v>100</v>
      </c>
      <c r="H14" s="1">
        <f>SUM(P.25!Z38)</f>
        <v>85.714285714285708</v>
      </c>
      <c r="I14" s="1">
        <f>SUM(P.25!AA38)</f>
        <v>100</v>
      </c>
      <c r="J14" s="2">
        <v>1811</v>
      </c>
      <c r="K14" s="12">
        <f>RANK(E14,$E$4:$E$25,1)+COUNTIF($E$4:E14,E14)-1</f>
        <v>2</v>
      </c>
      <c r="L14" s="11" t="str">
        <f>INDEX(B4:I25,MATCH(11,K4:K25,0),1)</f>
        <v>Ustrzyki Dolne</v>
      </c>
      <c r="M14" s="1">
        <f>INDEX(B4:I25,MATCH(11,K4:K25,0),4)</f>
        <v>96.226415094339629</v>
      </c>
    </row>
    <row r="15" spans="1:13" x14ac:dyDescent="0.25">
      <c r="A15" s="9">
        <v>12</v>
      </c>
      <c r="B15" s="2" t="s">
        <v>80</v>
      </c>
      <c r="C15" s="1">
        <f>SUM(P.25!U39)</f>
        <v>67.164179104477611</v>
      </c>
      <c r="D15" s="1">
        <f>SUM(P.25!V39)</f>
        <v>40</v>
      </c>
      <c r="E15" s="296">
        <f>SUM(P.25!W39)</f>
        <v>87.937743190661479</v>
      </c>
      <c r="F15" s="1">
        <f>SUMIF(P.25!X39,"&gt;1",(P.25!X39))</f>
        <v>69.230769230769226</v>
      </c>
      <c r="G15" s="1">
        <f>SUM(P.25!Y39)</f>
        <v>100</v>
      </c>
      <c r="H15" s="1">
        <f>SUM(P.25!Z39)</f>
        <v>88.888888888888886</v>
      </c>
      <c r="I15" s="1">
        <f>SUM(P.25!AA39)</f>
        <v>91.666666666666657</v>
      </c>
      <c r="J15" s="2">
        <v>1812</v>
      </c>
      <c r="K15" s="12">
        <f>RANK(E15,$E$4:$E$25,1)+COUNTIF($E$4:E15,E15)-1</f>
        <v>4</v>
      </c>
      <c r="L15" s="11" t="str">
        <f>INDEX(B4:I25,MATCH(12,K4:K25,0),1)</f>
        <v>Kolbuszowa</v>
      </c>
      <c r="M15" s="1">
        <f>INDEX(B4:I25,MATCH(12,K4:K25,0),4)</f>
        <v>96.774193548387103</v>
      </c>
    </row>
    <row r="16" spans="1:13" x14ac:dyDescent="0.25">
      <c r="A16" s="9">
        <v>13</v>
      </c>
      <c r="B16" s="2" t="s">
        <v>81</v>
      </c>
      <c r="C16" s="1">
        <f>SUM(P.25!U40)</f>
        <v>77.5</v>
      </c>
      <c r="D16" s="1">
        <f>SUM(P.25!V40)</f>
        <v>90.243902439024396</v>
      </c>
      <c r="E16" s="296">
        <f>SUM(P.25!W40)</f>
        <v>83.769633507853399</v>
      </c>
      <c r="F16" s="1">
        <f>SUMIF(P.25!X40,"&gt;1",(P.25!X40))</f>
        <v>81.818181818181827</v>
      </c>
      <c r="G16" s="1">
        <f>SUM(P.25!Y40)</f>
        <v>93.442622950819683</v>
      </c>
      <c r="H16" s="1">
        <f>SUM(P.25!Z40)</f>
        <v>85.365853658536579</v>
      </c>
      <c r="I16" s="1">
        <f>SUM(P.25!AA40)</f>
        <v>88.888888888888886</v>
      </c>
      <c r="J16" s="2">
        <v>1814</v>
      </c>
      <c r="K16" s="59">
        <f>RANK(E16,$E$4:$E$25,1)+COUNTIF($E$4:E16,E16)-1</f>
        <v>3</v>
      </c>
      <c r="L16" s="58" t="str">
        <f>INDEX(B4:I25,MATCH(13,K4:K25,0),1)</f>
        <v>Dębica</v>
      </c>
      <c r="M16" s="15">
        <f>INDEX(B4:I25,MATCH(13,K4:K25,0),4)</f>
        <v>97.354497354497354</v>
      </c>
    </row>
    <row r="17" spans="1:13" x14ac:dyDescent="0.25">
      <c r="A17" s="9">
        <v>14</v>
      </c>
      <c r="B17" s="2" t="s">
        <v>82</v>
      </c>
      <c r="C17" s="1">
        <f>SUM(P.25!U41)</f>
        <v>79.816513761467888</v>
      </c>
      <c r="D17" s="1">
        <f>SUM(P.25!V41)</f>
        <v>79.166666666666657</v>
      </c>
      <c r="E17" s="296">
        <f>SUM(P.25!W41)</f>
        <v>80.188679245283026</v>
      </c>
      <c r="F17" s="1">
        <f>SUMIF(P.25!X41,"&gt;1",(P.25!X41))</f>
        <v>94.339622641509436</v>
      </c>
      <c r="G17" s="1">
        <f>SUM(P.25!Y41)</f>
        <v>96.969696969696969</v>
      </c>
      <c r="H17" s="1">
        <f>SUM(P.25!Z41)</f>
        <v>79.381443298969074</v>
      </c>
      <c r="I17" s="1">
        <f>SUM(P.25!AA41)</f>
        <v>92.307692307692307</v>
      </c>
      <c r="J17" s="2">
        <v>1815</v>
      </c>
      <c r="K17" s="13">
        <f>RANK(E17,$E$4:$E$25,1)+COUNTIF($E$4:E17,E17)-1</f>
        <v>1</v>
      </c>
      <c r="L17" s="14" t="str">
        <f>INDEX(B4:I25,MATCH(14,K4:K25,0),1)</f>
        <v>Tarnobrzeg</v>
      </c>
      <c r="M17" s="1">
        <f>INDEX(B4:I25,MATCH(14,K4:K25,0),4)</f>
        <v>97.849462365591393</v>
      </c>
    </row>
    <row r="18" spans="1:13" x14ac:dyDescent="0.25">
      <c r="A18" s="299">
        <v>15</v>
      </c>
      <c r="B18" s="298" t="s">
        <v>83</v>
      </c>
      <c r="C18" s="95">
        <f>SUM(P.25!U43)</f>
        <v>79.514824797843659</v>
      </c>
      <c r="D18" s="95">
        <f>SUM(P.25!V43)</f>
        <v>47.10144927536232</v>
      </c>
      <c r="E18" s="297">
        <f>SUM(P.25!W43)</f>
        <v>91.095890410958901</v>
      </c>
      <c r="F18" s="95">
        <f>SUMIF(P.25!X43,"&gt;1",(P.25!X43))</f>
        <v>99.038461538461547</v>
      </c>
      <c r="G18" s="95">
        <f>SUM(P.25!Y43)</f>
        <v>98.498498498498492</v>
      </c>
      <c r="H18" s="95">
        <f>SUM(P.25!Z43)</f>
        <v>89.029535864978897</v>
      </c>
      <c r="I18" s="95">
        <f>SUM(P.25!AA43)</f>
        <v>95.945945945945937</v>
      </c>
      <c r="J18" s="298" t="s">
        <v>136</v>
      </c>
      <c r="K18" s="12">
        <f>RANK(E18,$E$4:$E$25,1)+COUNTIF($E$4:E18,E18)-1</f>
        <v>6</v>
      </c>
      <c r="L18" s="2" t="str">
        <f>INDEX(B4:I25,MATCH(15,K4:K25,0),1)</f>
        <v>Jarosław</v>
      </c>
      <c r="M18" s="1">
        <f>INDEX(B4:I25,MATCH(15,K4:K25,0),4)</f>
        <v>98.425196850393704</v>
      </c>
    </row>
    <row r="19" spans="1:13" x14ac:dyDescent="0.25">
      <c r="A19" s="9">
        <v>16</v>
      </c>
      <c r="B19" s="2" t="s">
        <v>84</v>
      </c>
      <c r="C19" s="1">
        <f>SUM(P.25!U44)</f>
        <v>79.646017699115049</v>
      </c>
      <c r="D19" s="1">
        <f>SUM(P.25!V44)</f>
        <v>61.855670103092784</v>
      </c>
      <c r="E19" s="296">
        <f>SUM(P.25!W44)</f>
        <v>93.421052631578945</v>
      </c>
      <c r="F19" s="1">
        <f>SUMIF(P.25!X44,"&gt;1",(P.25!X44))</f>
        <v>88.888888888888886</v>
      </c>
      <c r="G19" s="1">
        <f>SUM(P.25!Y44)</f>
        <v>97.27272727272728</v>
      </c>
      <c r="H19" s="1">
        <f>SUM(P.25!Z44)</f>
        <v>92.20779220779221</v>
      </c>
      <c r="I19" s="1">
        <f>SUM(P.25!AA44)</f>
        <v>94.444444444444443</v>
      </c>
      <c r="J19" s="2">
        <v>1817</v>
      </c>
      <c r="K19" s="12">
        <f>RANK(E19,$E$4:$E$25,1)+COUNTIF($E$4:E19,E19)-1</f>
        <v>9</v>
      </c>
      <c r="L19" s="2" t="str">
        <f>INDEX(B4:I25,MATCH(16,K4:K25,0),1)</f>
        <v>Brzozów</v>
      </c>
      <c r="M19" s="1">
        <f>INDEX(B4:I25,MATCH(16,K4:K25,0),4)</f>
        <v>98.550724637681171</v>
      </c>
    </row>
    <row r="20" spans="1:13" x14ac:dyDescent="0.25">
      <c r="A20" s="9">
        <v>17</v>
      </c>
      <c r="B20" s="2" t="s">
        <v>85</v>
      </c>
      <c r="C20" s="1">
        <f>SUM(P.25!U45)</f>
        <v>85.051546391752581</v>
      </c>
      <c r="D20" s="1">
        <f>SUM(P.25!V45)</f>
        <v>56.756756756756758</v>
      </c>
      <c r="E20" s="296">
        <f>SUM(P.25!W45)</f>
        <v>100</v>
      </c>
      <c r="F20" s="1">
        <f>SUMIF(P.25!X45,"&gt;1",(P.25!X45))</f>
        <v>100</v>
      </c>
      <c r="G20" s="1">
        <f>SUM(P.25!Y45)</f>
        <v>96.721311475409834</v>
      </c>
      <c r="H20" s="1">
        <f>SUM(P.25!Z45)</f>
        <v>91.83673469387756</v>
      </c>
      <c r="I20" s="1">
        <f>SUM(P.25!AA45)</f>
        <v>87.096774193548384</v>
      </c>
      <c r="J20" s="2">
        <v>1818</v>
      </c>
      <c r="K20" s="12">
        <f>RANK(E20,$E$4:$E$25,1)+COUNTIF($E$4:E20,E20)-1</f>
        <v>21</v>
      </c>
      <c r="L20" s="2" t="str">
        <f>INDEX(B4:I25,MATCH(17,K4:K25,0),1)</f>
        <v>Lubaczów</v>
      </c>
      <c r="M20" s="1">
        <f>INDEX(B4:I25,MATCH(17,K4:K25,0),4)</f>
        <v>98.666666666666671</v>
      </c>
    </row>
    <row r="21" spans="1:13" x14ac:dyDescent="0.25">
      <c r="A21" s="9">
        <v>18</v>
      </c>
      <c r="B21" s="2" t="s">
        <v>86</v>
      </c>
      <c r="C21" s="1">
        <f>SUM(P.25!U46)</f>
        <v>84.859154929577457</v>
      </c>
      <c r="D21" s="1">
        <f>SUM(P.25!V46)</f>
        <v>63.768115942028977</v>
      </c>
      <c r="E21" s="296">
        <f>SUM(P.25!W46)</f>
        <v>100</v>
      </c>
      <c r="F21" s="1">
        <f>SUMIF(P.25!X46,"&gt;1",(P.25!X46))</f>
        <v>98.290598290598282</v>
      </c>
      <c r="G21" s="1">
        <f>SUM(P.25!Y46)</f>
        <v>100</v>
      </c>
      <c r="H21" s="1">
        <f>SUM(P.25!Z46)</f>
        <v>94.666666666666671</v>
      </c>
      <c r="I21" s="1">
        <f>SUM(P.25!AA46)</f>
        <v>88.888888888888886</v>
      </c>
      <c r="J21" s="2">
        <v>1819</v>
      </c>
      <c r="K21" s="12">
        <f>RANK(E21,$E$4:$E$25,1)+COUNTIF($E$4:E21,E21)-1</f>
        <v>22</v>
      </c>
      <c r="L21" s="2" t="str">
        <f>INDEX(B4:I25,MATCH(18,K4:K25,0),1)</f>
        <v>Przemyśl</v>
      </c>
      <c r="M21" s="1">
        <f>INDEX(B4:I25,MATCH(18,K4:K25,0),4)</f>
        <v>98.888888888888886</v>
      </c>
    </row>
    <row r="22" spans="1:13" x14ac:dyDescent="0.25">
      <c r="A22" s="299">
        <v>19</v>
      </c>
      <c r="B22" s="298" t="s">
        <v>87</v>
      </c>
      <c r="C22" s="95">
        <f>SUM(P.25!U47)</f>
        <v>84.491978609625676</v>
      </c>
      <c r="D22" s="95">
        <f>SUM(P.25!V47)</f>
        <v>44.444444444444443</v>
      </c>
      <c r="E22" s="297">
        <f>SUM(P.25!W47)</f>
        <v>97.849462365591393</v>
      </c>
      <c r="F22" s="95">
        <f>SUMIF(P.25!X47,"&gt;1",(P.25!X47))</f>
        <v>99.371069182389931</v>
      </c>
      <c r="G22" s="95">
        <f>SUM(P.25!Y47)</f>
        <v>97.560975609756099</v>
      </c>
      <c r="H22" s="95">
        <f>SUM(P.25!Z47)</f>
        <v>100</v>
      </c>
      <c r="I22" s="95">
        <f>SUM(P.25!AA47)</f>
        <v>100</v>
      </c>
      <c r="J22" s="298" t="s">
        <v>137</v>
      </c>
      <c r="K22" s="12">
        <f>RANK(E22,$E$4:$E$25,1)+COUNTIF($E$4:E22,E22)-1</f>
        <v>14</v>
      </c>
      <c r="L22" s="2" t="str">
        <f>INDEX(B4:I25,MATCH(19,K4:K25,0),1)</f>
        <v>Łańcut</v>
      </c>
      <c r="M22" s="1">
        <f>INDEX(B4:I25,MATCH(19,K4:K25,0),4)</f>
        <v>99.173553719008268</v>
      </c>
    </row>
    <row r="23" spans="1:13" x14ac:dyDescent="0.25">
      <c r="A23" s="9">
        <v>20</v>
      </c>
      <c r="B23" s="2" t="s">
        <v>88</v>
      </c>
      <c r="C23" s="1">
        <f>SUM(P.25!U48)</f>
        <v>88.461538461538453</v>
      </c>
      <c r="D23" s="1">
        <f>SUM(P.25!V48)</f>
        <v>61.53846153846154</v>
      </c>
      <c r="E23" s="296">
        <f>SUM(P.25!W48)</f>
        <v>89.743589743589752</v>
      </c>
      <c r="F23" s="1">
        <f>SUMIF(P.25!X48,"&gt;1",(P.25!X48))</f>
        <v>96.969696969696969</v>
      </c>
      <c r="G23" s="1">
        <f>SUM(P.25!Y48)</f>
        <v>92.1875</v>
      </c>
      <c r="H23" s="1">
        <f>SUM(P.25!Z48)</f>
        <v>100</v>
      </c>
      <c r="I23" s="1">
        <f>SUM(P.25!AA48)</f>
        <v>77.272727272727266</v>
      </c>
      <c r="J23" s="2">
        <v>1821</v>
      </c>
      <c r="K23" s="12">
        <f>RANK(E23,$E$4:$E$25,1)+COUNTIF($E$4:E23,E23)-1</f>
        <v>5</v>
      </c>
      <c r="L23" s="2" t="str">
        <f>INDEX(B4:I25,MATCH(20,K4:K25,0),1)</f>
        <v>Krosno</v>
      </c>
      <c r="M23" s="1">
        <f>INDEX(B4:I25,MATCH(20,K4:K25,0),4)</f>
        <v>100</v>
      </c>
    </row>
    <row r="24" spans="1:13" x14ac:dyDescent="0.25">
      <c r="A24" s="299">
        <v>21</v>
      </c>
      <c r="B24" s="298" t="s">
        <v>91</v>
      </c>
      <c r="C24" s="95">
        <f>SUM(P.25!U49)</f>
        <v>89.629629629629619</v>
      </c>
      <c r="D24" s="95">
        <f>SUM(P.25!V49)</f>
        <v>65.517241379310349</v>
      </c>
      <c r="E24" s="297">
        <f>SUM(P.25!W49)</f>
        <v>98.888888888888886</v>
      </c>
      <c r="F24" s="95">
        <f>SUMIF(P.25!X49,"&gt;1",(P.25!X49))</f>
        <v>94.444444444444443</v>
      </c>
      <c r="G24" s="95">
        <f>SUM(P.25!Y49)</f>
        <v>94.078947368421055</v>
      </c>
      <c r="H24" s="95">
        <f>SUM(P.25!Z49)</f>
        <v>92.134831460674164</v>
      </c>
      <c r="I24" s="95">
        <f>SUM(P.25!AA49)</f>
        <v>56.684491978609628</v>
      </c>
      <c r="J24" s="298" t="s">
        <v>135</v>
      </c>
      <c r="K24" s="12">
        <f>RANK(E24,$E$4:$E$25,1)+COUNTIF($E$4:E24,E24)-1</f>
        <v>18</v>
      </c>
      <c r="L24" s="2" t="str">
        <f>INDEX(B4:I25,MATCH(21,K4:K25,0),1)</f>
        <v>Stalowa Wola</v>
      </c>
      <c r="M24" s="1">
        <f>INDEX(B4:I25,MATCH(21,K4:K25,0),4)</f>
        <v>100</v>
      </c>
    </row>
    <row r="25" spans="1:13" x14ac:dyDescent="0.25">
      <c r="A25" s="9">
        <v>22</v>
      </c>
      <c r="B25" s="11" t="s">
        <v>94</v>
      </c>
      <c r="C25" s="1">
        <f>SUM(P.25!U50)</f>
        <v>82.448610797379715</v>
      </c>
      <c r="D25" s="1">
        <f>SUM(P.25!V50)</f>
        <v>51.242236024844722</v>
      </c>
      <c r="E25" s="296">
        <f>SUM(P.25!W50)</f>
        <v>93.262653898768804</v>
      </c>
      <c r="F25" s="1">
        <f>SUMIF(P.25!X50,"&gt;1",(P.25!X50))</f>
        <v>96.568977841315231</v>
      </c>
      <c r="G25" s="1">
        <f>SUM(P.25!Y50)</f>
        <v>97.348066298342545</v>
      </c>
      <c r="H25" s="1">
        <f>SUM(P.25!Z50)</f>
        <v>89.86486486486487</v>
      </c>
      <c r="I25" s="1">
        <f>SUM(P.25!AA50)</f>
        <v>82.754759238521842</v>
      </c>
      <c r="J25" s="2">
        <v>1800</v>
      </c>
      <c r="K25" s="12">
        <f>RANK(E25,$E$4:$E$25,1)+COUNTIF($E$4:E25,E25)-1</f>
        <v>8</v>
      </c>
      <c r="L25" s="2" t="str">
        <f>INDEX(B4:I25,MATCH(22,K4:K25,0),1)</f>
        <v>Strzyżów</v>
      </c>
      <c r="M25" s="1">
        <f>INDEX(B4:I25,MATCH(22,K4:K25,0),4)</f>
        <v>100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</row>
    <row r="28" spans="1:13" x14ac:dyDescent="0.25">
      <c r="A28" s="9">
        <v>2</v>
      </c>
      <c r="B28" s="10" t="s">
        <v>2</v>
      </c>
      <c r="C28" s="8" t="s">
        <v>143</v>
      </c>
      <c r="D28" s="17"/>
      <c r="E28" s="17"/>
      <c r="F28" s="17"/>
      <c r="G28" s="17"/>
      <c r="H28" s="17"/>
      <c r="I28" s="17"/>
      <c r="J28" s="17"/>
      <c r="K28" s="8"/>
    </row>
    <row r="29" spans="1:13" x14ac:dyDescent="0.25">
      <c r="A29" s="294">
        <v>3</v>
      </c>
      <c r="B29" s="295" t="s">
        <v>3</v>
      </c>
      <c r="C29" s="8" t="s">
        <v>143</v>
      </c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39A2C-7CA1-479C-B30F-3887E0690B34}">
  <sheetPr>
    <tabColor theme="0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6.140625" style="8" customWidth="1"/>
    <col min="2" max="2" width="13.42578125" style="8" customWidth="1"/>
    <col min="3" max="3" width="8.28515625" style="8" customWidth="1"/>
    <col min="4" max="4" width="9.140625" style="8"/>
    <col min="5" max="5" width="11" style="8" customWidth="1"/>
    <col min="6" max="6" width="10.5703125" style="8" customWidth="1"/>
    <col min="7" max="7" width="10" style="8" customWidth="1"/>
    <col min="8" max="8" width="9.85546875" style="8" customWidth="1"/>
    <col min="9" max="9" width="12.28515625" style="8" customWidth="1"/>
    <col min="10" max="10" width="11.5703125" style="5" customWidth="1"/>
    <col min="11" max="11" width="7.85546875" style="5" customWidth="1"/>
    <col min="12" max="12" width="14.42578125" style="5" customWidth="1"/>
    <col min="13" max="13" width="12.42578125" style="8" customWidth="1"/>
    <col min="14" max="16384" width="9.140625" style="8"/>
  </cols>
  <sheetData>
    <row r="1" spans="1:13" x14ac:dyDescent="0.25">
      <c r="A1" s="8" t="s">
        <v>145</v>
      </c>
      <c r="B1" s="471">
        <v>2025</v>
      </c>
    </row>
    <row r="2" spans="1:13" x14ac:dyDescent="0.25">
      <c r="A2" s="8" t="s">
        <v>298</v>
      </c>
    </row>
    <row r="3" spans="1:13" x14ac:dyDescent="0.25">
      <c r="A3" s="463">
        <f>SUM(P.!K26)</f>
        <v>0</v>
      </c>
      <c r="B3" s="466" t="s">
        <v>95</v>
      </c>
      <c r="C3" s="463" t="s">
        <v>127</v>
      </c>
      <c r="D3" s="463" t="s">
        <v>126</v>
      </c>
      <c r="E3" s="463" t="s">
        <v>140</v>
      </c>
      <c r="F3" s="463" t="s">
        <v>130</v>
      </c>
      <c r="G3" s="463" t="s">
        <v>141</v>
      </c>
      <c r="H3" s="463" t="s">
        <v>139</v>
      </c>
      <c r="I3" s="463" t="s">
        <v>276</v>
      </c>
      <c r="J3" s="463"/>
      <c r="K3" s="463" t="s">
        <v>67</v>
      </c>
      <c r="L3" s="463" t="s">
        <v>142</v>
      </c>
      <c r="M3" s="470" t="s">
        <v>138</v>
      </c>
    </row>
    <row r="4" spans="1:13" x14ac:dyDescent="0.25">
      <c r="A4" s="9">
        <v>1</v>
      </c>
      <c r="B4" s="2" t="s">
        <v>69</v>
      </c>
      <c r="C4" s="1">
        <f>SUM(P.25!U27)</f>
        <v>87.628865979381445</v>
      </c>
      <c r="D4" s="1">
        <f>SUM(P.25!V27)</f>
        <v>53.846153846153847</v>
      </c>
      <c r="E4" s="1">
        <f>SUM(P.25!W27)</f>
        <v>96.226415094339629</v>
      </c>
      <c r="F4" s="464">
        <f>SUMIF(P.25!X27,"&gt;1",(P.25!X27))</f>
        <v>100</v>
      </c>
      <c r="G4" s="1">
        <f>SUMIF(P.25!Y27,"&gt;1",(P.25!Y27))</f>
        <v>97.560975609756099</v>
      </c>
      <c r="H4" s="1">
        <f>SUMIF(P.25!Z27,"&gt;1",(P.25!Z27))</f>
        <v>100</v>
      </c>
      <c r="I4" s="1">
        <f>SUMIF(P.25!AA27,"&gt;1",(P.25!AA27))</f>
        <v>76.923076923076934</v>
      </c>
      <c r="J4" s="2">
        <v>1801</v>
      </c>
      <c r="K4" s="12">
        <f>RANK(F4,$F$4:$F$25,1)+COUNTIF($F$4:F4,F4)-1</f>
        <v>15</v>
      </c>
      <c r="L4" s="2" t="str">
        <f>INDEX(B4:I25,MATCH(1,K4:K25,0),1)</f>
        <v>Nisko</v>
      </c>
      <c r="M4" s="1">
        <f>INDEX(B4:I25,MATCH(1,K4:K25,0),5)</f>
        <v>69.230769230769226</v>
      </c>
    </row>
    <row r="5" spans="1:13" x14ac:dyDescent="0.25">
      <c r="A5" s="9">
        <v>2</v>
      </c>
      <c r="B5" s="2" t="s">
        <v>70</v>
      </c>
      <c r="C5" s="1">
        <f>SUM(P.25!U28)</f>
        <v>88.135593220338976</v>
      </c>
      <c r="D5" s="1">
        <f>SUM(P.25!V28)</f>
        <v>94.444444444444443</v>
      </c>
      <c r="E5" s="1">
        <f>SUM(P.25!W28)</f>
        <v>98.550724637681171</v>
      </c>
      <c r="F5" s="464">
        <f>SUMIF(P.25!X28,"&gt;1",(P.25!X28))</f>
        <v>100</v>
      </c>
      <c r="G5" s="1">
        <f>SUM(P.25!Y28)</f>
        <v>99.242424242424249</v>
      </c>
      <c r="H5" s="1">
        <f>SUM(P.25!Z28)</f>
        <v>97.916666666666657</v>
      </c>
      <c r="I5" s="1">
        <f>SUM(P.25!AA28)</f>
        <v>89.830508474576277</v>
      </c>
      <c r="J5" s="2">
        <v>1802</v>
      </c>
      <c r="K5" s="12">
        <f>RANK(F5,$F$4:$F$25,1)+COUNTIF($F$4:F5,F5)-1</f>
        <v>16</v>
      </c>
      <c r="L5" s="11" t="str">
        <f>INDEX(B4:I25,MATCH(2,K4:K25,0),1)</f>
        <v>Przeworsk</v>
      </c>
      <c r="M5" s="1">
        <f>INDEX(B4:I25,MATCH(2,K4:K25,0),5)</f>
        <v>81.818181818181827</v>
      </c>
    </row>
    <row r="6" spans="1:13" x14ac:dyDescent="0.25">
      <c r="A6" s="9">
        <v>3</v>
      </c>
      <c r="B6" s="2" t="s">
        <v>71</v>
      </c>
      <c r="C6" s="1">
        <f>SUM(P.25!U29)</f>
        <v>67.5</v>
      </c>
      <c r="D6" s="1">
        <f>SUM(P.25!V29)</f>
        <v>66.666666666666657</v>
      </c>
      <c r="E6" s="1">
        <f>SUM(P.25!W29)</f>
        <v>97.354497354497354</v>
      </c>
      <c r="F6" s="464">
        <f>SUMIF(P.25!X29,"&gt;1",(P.25!X29))</f>
        <v>100</v>
      </c>
      <c r="G6" s="1">
        <f>SUM(P.25!Y29)</f>
        <v>100</v>
      </c>
      <c r="H6" s="1">
        <f>SUM(P.25!Z29)</f>
        <v>100</v>
      </c>
      <c r="I6" s="1">
        <f>SUM(P.25!AA29)</f>
        <v>93.548387096774192</v>
      </c>
      <c r="J6" s="2">
        <v>1803</v>
      </c>
      <c r="K6" s="12">
        <f>RANK(F6,$F$4:$F$25,1)+COUNTIF($F$4:F6,F6)-1</f>
        <v>17</v>
      </c>
      <c r="L6" s="11" t="str">
        <f>INDEX(B4:I25,MATCH(3,K4:K25,0),1)</f>
        <v>Sanok</v>
      </c>
      <c r="M6" s="1">
        <f>INDEX(B4:I25,MATCH(3,K4:K25,0),5)</f>
        <v>88.888888888888886</v>
      </c>
    </row>
    <row r="7" spans="1:13" x14ac:dyDescent="0.25">
      <c r="A7" s="9">
        <v>4</v>
      </c>
      <c r="B7" s="2" t="s">
        <v>72</v>
      </c>
      <c r="C7" s="1">
        <f>SUM(P.25!U30)</f>
        <v>88.549618320610691</v>
      </c>
      <c r="D7" s="1">
        <f>SUM(P.25!V30)</f>
        <v>72.727272727272734</v>
      </c>
      <c r="E7" s="1">
        <f>SUM(P.25!W30)</f>
        <v>98.425196850393704</v>
      </c>
      <c r="F7" s="464">
        <f>SUMIF(P.25!X30,"&gt;1",(P.25!X30))</f>
        <v>98.290598290598282</v>
      </c>
      <c r="G7" s="1">
        <f>SUM(P.25!Y30)</f>
        <v>100</v>
      </c>
      <c r="H7" s="1">
        <f>SUM(P.25!Z30)</f>
        <v>99.193548387096769</v>
      </c>
      <c r="I7" s="1">
        <f>SUM(P.25!AA30)</f>
        <v>80.645161290322577</v>
      </c>
      <c r="J7" s="2">
        <v>1804</v>
      </c>
      <c r="K7" s="12">
        <f>RANK(F7,$F$4:$F$25,1)+COUNTIF($F$4:F7,F7)-1</f>
        <v>11</v>
      </c>
      <c r="L7" s="11" t="str">
        <f>INDEX(B4:I25,MATCH(4,K4:K25,0),1)</f>
        <v>Kolbuszowa</v>
      </c>
      <c r="M7" s="1">
        <f>INDEX(B4:I25,MATCH(4,K4:K25,0),5)</f>
        <v>94.117647058823522</v>
      </c>
    </row>
    <row r="8" spans="1:13" x14ac:dyDescent="0.25">
      <c r="A8" s="9">
        <v>5</v>
      </c>
      <c r="B8" s="2" t="s">
        <v>73</v>
      </c>
      <c r="C8" s="1">
        <f>SUM(P.25!U31)</f>
        <v>87.793427230046944</v>
      </c>
      <c r="D8" s="1">
        <f>SUM(P.25!V31)</f>
        <v>40.54054054054054</v>
      </c>
      <c r="E8" s="1">
        <f>SUM(P.25!W31)</f>
        <v>92.592592592592595</v>
      </c>
      <c r="F8" s="464">
        <f>SUMIF(P.25!X31,"&gt;1",(P.25!X31))</f>
        <v>95.3125</v>
      </c>
      <c r="G8" s="1">
        <f>SUM(P.25!Y31)</f>
        <v>97.247706422018354</v>
      </c>
      <c r="H8" s="1">
        <f>SUM(P.25!Z31)</f>
        <v>86.021505376344081</v>
      </c>
      <c r="I8" s="1">
        <f>SUM(P.25!AA31)</f>
        <v>84.090909090909093</v>
      </c>
      <c r="J8" s="2">
        <v>1805</v>
      </c>
      <c r="K8" s="12">
        <f>RANK(F8,$F$4:$F$25,1)+COUNTIF($F$4:F8,F8)-1</f>
        <v>7</v>
      </c>
      <c r="L8" s="11" t="str">
        <f>INDEX(B4:I25,MATCH(5,K4:K25,0),1)</f>
        <v>Ropczyce</v>
      </c>
      <c r="M8" s="1">
        <f>INDEX(B4:I25,MATCH(5,K4:K25,0),5)</f>
        <v>94.339622641509436</v>
      </c>
    </row>
    <row r="9" spans="1:13" x14ac:dyDescent="0.25">
      <c r="A9" s="9">
        <v>6</v>
      </c>
      <c r="B9" s="2" t="s">
        <v>74</v>
      </c>
      <c r="C9" s="1">
        <f>SUM(P.25!U32)</f>
        <v>87.387387387387378</v>
      </c>
      <c r="D9" s="1">
        <f>SUM(P.25!V32)</f>
        <v>40</v>
      </c>
      <c r="E9" s="1">
        <f>SUM(P.25!W32)</f>
        <v>96.774193548387103</v>
      </c>
      <c r="F9" s="464">
        <f>SUMIF(P.25!X32,"&gt;1",(P.25!X32))</f>
        <v>94.117647058823522</v>
      </c>
      <c r="G9" s="1">
        <f>SUM(P.25!Y32)</f>
        <v>100</v>
      </c>
      <c r="H9" s="1">
        <f>SUM(P.25!Z32)</f>
        <v>98.591549295774655</v>
      </c>
      <c r="I9" s="562">
        <f>SUMIF(P.25!AA32,"&gt;1",(P.25!AA32))</f>
        <v>0</v>
      </c>
      <c r="J9" s="2">
        <v>1806</v>
      </c>
      <c r="K9" s="12">
        <f>RANK(F9,$F$4:$F$25,1)+COUNTIF($F$4:F9,F9)-1</f>
        <v>4</v>
      </c>
      <c r="L9" s="11" t="str">
        <f>INDEX(B4:I25,MATCH(6,K4:K25,0),1)</f>
        <v>Przemyśl</v>
      </c>
      <c r="M9" s="1">
        <f>INDEX(B4:I25,MATCH(6,K4:K25,0),5)</f>
        <v>94.444444444444443</v>
      </c>
    </row>
    <row r="10" spans="1:13" x14ac:dyDescent="0.25">
      <c r="A10" s="467">
        <v>7</v>
      </c>
      <c r="B10" s="468" t="s">
        <v>75</v>
      </c>
      <c r="C10" s="95">
        <f>SUM(P.25!U33)</f>
        <v>86.666666666666671</v>
      </c>
      <c r="D10" s="95">
        <f>SUM(P.25!V33)</f>
        <v>43.75</v>
      </c>
      <c r="E10" s="95">
        <f>SUM(P.25!W33)</f>
        <v>100</v>
      </c>
      <c r="F10" s="465">
        <f>SUMIF(P.25!X33,"&gt;1",(P.25!X33))</f>
        <v>100</v>
      </c>
      <c r="G10" s="95">
        <f>SUM(P.25!Y33)</f>
        <v>100</v>
      </c>
      <c r="H10" s="95">
        <f>SUM(P.25!Z33)</f>
        <v>83.15789473684211</v>
      </c>
      <c r="I10" s="95">
        <f>SUM(P.25!AA33)</f>
        <v>97.058823529411768</v>
      </c>
      <c r="J10" s="468" t="s">
        <v>134</v>
      </c>
      <c r="K10" s="12">
        <f>RANK(F10,$F$4:$F$25,1)+COUNTIF($F$4:F10,F10)-1</f>
        <v>18</v>
      </c>
      <c r="L10" s="11" t="str">
        <f>INDEX(B4:I25,MATCH(7,K4:K25,0),1)</f>
        <v>Jasło</v>
      </c>
      <c r="M10" s="1">
        <f>INDEX(B4:I25,MATCH(7,K4:K25,0),5)</f>
        <v>95.3125</v>
      </c>
    </row>
    <row r="11" spans="1:13" x14ac:dyDescent="0.25">
      <c r="A11" s="9">
        <v>8</v>
      </c>
      <c r="B11" s="2" t="s">
        <v>76</v>
      </c>
      <c r="C11" s="1">
        <f>SUM(P.25!U35)</f>
        <v>85.318559556786695</v>
      </c>
      <c r="D11" s="1">
        <f>SUM(P.25!V35)</f>
        <v>18.604651162790699</v>
      </c>
      <c r="E11" s="1">
        <f>SUM(P.25!W35)</f>
        <v>95.945945945945937</v>
      </c>
      <c r="F11" s="464">
        <f>SUMIF(P.25!X35,"&gt;1",(P.25!X35))</f>
        <v>97.163120567375884</v>
      </c>
      <c r="G11" s="1">
        <f>SUM(P.25!Y35)</f>
        <v>89.393939393939391</v>
      </c>
      <c r="H11" s="1">
        <f>SUM(P.25!Z35)</f>
        <v>78.94736842105263</v>
      </c>
      <c r="I11" s="1">
        <f>SUM(P.25!AA35)</f>
        <v>87.5</v>
      </c>
      <c r="J11" s="2">
        <v>1808</v>
      </c>
      <c r="K11" s="12">
        <f>RANK(F11,$F$4:$F$25,1)+COUNTIF($F$4:F11,F11)-1</f>
        <v>10</v>
      </c>
      <c r="L11" s="300" t="str">
        <f>INDEX(B4:I25,MATCH(8,K4:K25,0),1)</f>
        <v>Podkarpacie</v>
      </c>
      <c r="M11" s="296">
        <f>INDEX(B4:I25,MATCH(8,K4:K25,0),5)</f>
        <v>96.568977841315231</v>
      </c>
    </row>
    <row r="12" spans="1:13" x14ac:dyDescent="0.25">
      <c r="A12" s="9">
        <v>9</v>
      </c>
      <c r="B12" s="2" t="s">
        <v>77</v>
      </c>
      <c r="C12" s="1">
        <f>SUM(P.25!U36)</f>
        <v>85.507246376811594</v>
      </c>
      <c r="D12" s="1">
        <f>SUM(P.25!V36)</f>
        <v>100</v>
      </c>
      <c r="E12" s="1">
        <f>SUM(P.25!W36)</f>
        <v>98.666666666666671</v>
      </c>
      <c r="F12" s="464">
        <f>SUMIF(P.25!X36,"&gt;1",(P.25!X36))</f>
        <v>100</v>
      </c>
      <c r="G12" s="1">
        <f>SUM(P.25!Y36)</f>
        <v>100</v>
      </c>
      <c r="H12" s="464">
        <f>SUMIF(P.25!Z36,"&gt;1",(P.25!Z36))</f>
        <v>100</v>
      </c>
      <c r="I12" s="1">
        <f>SUM(P.25!AA36)</f>
        <v>90.277777777777786</v>
      </c>
      <c r="J12" s="2">
        <v>1809</v>
      </c>
      <c r="K12" s="12">
        <f>RANK(F12,$F$4:$F$25,1)+COUNTIF($F$4:F12,F12)-1</f>
        <v>19</v>
      </c>
      <c r="L12" s="11" t="str">
        <f>INDEX(B4:I25,MATCH(9,K4:K25,0),1)</f>
        <v>Lesko</v>
      </c>
      <c r="M12" s="1">
        <f>INDEX(B4:I25,MATCH(9,K4:K25,0),5)</f>
        <v>96.969696969696969</v>
      </c>
    </row>
    <row r="13" spans="1:13" x14ac:dyDescent="0.25">
      <c r="A13" s="9">
        <v>10</v>
      </c>
      <c r="B13" s="2" t="s">
        <v>78</v>
      </c>
      <c r="C13" s="1">
        <f>SUM(P.25!U37)</f>
        <v>75.352112676056336</v>
      </c>
      <c r="D13" s="1">
        <f>SUM(P.25!V37)</f>
        <v>52.459016393442624</v>
      </c>
      <c r="E13" s="1">
        <f>SUM(P.25!W37)</f>
        <v>99.173553719008268</v>
      </c>
      <c r="F13" s="464">
        <f>SUMIF(P.25!X37,"&gt;1",(P.25!X37))</f>
        <v>100</v>
      </c>
      <c r="G13" s="1">
        <f>SUM(P.25!Y37)</f>
        <v>93.243243243243242</v>
      </c>
      <c r="H13" s="1">
        <f>SUM(P.25!Z37)</f>
        <v>85.507246376811594</v>
      </c>
      <c r="I13" s="1">
        <f>SUM(P.25!AA37)</f>
        <v>95.833333333333343</v>
      </c>
      <c r="J13" s="2">
        <v>1810</v>
      </c>
      <c r="K13" s="12">
        <f>RANK(F13,$F$4:$F$25,1)+COUNTIF($F$4:F13,F13)-1</f>
        <v>20</v>
      </c>
      <c r="L13" s="11" t="str">
        <f>INDEX(B4:I25,MATCH(10,K4:K25,0),1)</f>
        <v>Leżajsk</v>
      </c>
      <c r="M13" s="1">
        <f>INDEX(B4:I25,MATCH(10,K4:K25,0),5)</f>
        <v>97.163120567375884</v>
      </c>
    </row>
    <row r="14" spans="1:13" x14ac:dyDescent="0.25">
      <c r="A14" s="9">
        <v>11</v>
      </c>
      <c r="B14" s="2" t="s">
        <v>79</v>
      </c>
      <c r="C14" s="1">
        <f>SUM(P.25!U38)</f>
        <v>78.542510121457482</v>
      </c>
      <c r="D14" s="1">
        <f>SUM(P.25!V38)</f>
        <v>57.142857142857139</v>
      </c>
      <c r="E14" s="1">
        <f>SUM(P.25!W38)</f>
        <v>80.314960629921259</v>
      </c>
      <c r="F14" s="464">
        <f>SUMIF(P.25!X38,"&gt;1",(P.25!X38))</f>
        <v>100</v>
      </c>
      <c r="G14" s="1">
        <f>SUM(P.25!Y38)</f>
        <v>100</v>
      </c>
      <c r="H14" s="1">
        <f>SUM(P.25!Z38)</f>
        <v>85.714285714285708</v>
      </c>
      <c r="I14" s="1">
        <f>SUM(P.25!AA38)</f>
        <v>100</v>
      </c>
      <c r="J14" s="2">
        <v>1811</v>
      </c>
      <c r="K14" s="12">
        <f>RANK(F14,$F$4:$F$25,1)+COUNTIF($F$4:F14,F14)-1</f>
        <v>21</v>
      </c>
      <c r="L14" s="11" t="str">
        <f>INDEX(B4:I25,MATCH(11,K4:K25,0),1)</f>
        <v>Jarosław</v>
      </c>
      <c r="M14" s="1">
        <f>INDEX(B4:I25,MATCH(11,K4:K25,0),5)</f>
        <v>98.290598290598282</v>
      </c>
    </row>
    <row r="15" spans="1:13" x14ac:dyDescent="0.25">
      <c r="A15" s="9">
        <v>12</v>
      </c>
      <c r="B15" s="2" t="s">
        <v>80</v>
      </c>
      <c r="C15" s="1">
        <f>SUM(P.25!U39)</f>
        <v>67.164179104477611</v>
      </c>
      <c r="D15" s="1">
        <f>SUM(P.25!V39)</f>
        <v>40</v>
      </c>
      <c r="E15" s="1">
        <f>SUM(P.25!W39)</f>
        <v>87.937743190661479</v>
      </c>
      <c r="F15" s="464">
        <f>SUMIF(P.25!X39,"&gt;1",(P.25!X39))</f>
        <v>69.230769230769226</v>
      </c>
      <c r="G15" s="1">
        <f>SUM(P.25!Y39)</f>
        <v>100</v>
      </c>
      <c r="H15" s="1">
        <f>SUM(P.25!Z39)</f>
        <v>88.888888888888886</v>
      </c>
      <c r="I15" s="1">
        <f>SUM(P.25!AA39)</f>
        <v>91.666666666666657</v>
      </c>
      <c r="J15" s="2">
        <v>1812</v>
      </c>
      <c r="K15" s="12">
        <f>RANK(F15,$F$4:$F$25,1)+COUNTIF($F$4:F15,F15)-1</f>
        <v>1</v>
      </c>
      <c r="L15" s="11" t="str">
        <f>INDEX(B4:I25,MATCH(12,K4:K25,0),1)</f>
        <v>Strzyżów</v>
      </c>
      <c r="M15" s="1">
        <f>INDEX(B4:I25,MATCH(12,K4:K25,0),5)</f>
        <v>98.290598290598282</v>
      </c>
    </row>
    <row r="16" spans="1:13" x14ac:dyDescent="0.25">
      <c r="A16" s="9">
        <v>13</v>
      </c>
      <c r="B16" s="2" t="s">
        <v>81</v>
      </c>
      <c r="C16" s="1">
        <f>SUM(P.25!U40)</f>
        <v>77.5</v>
      </c>
      <c r="D16" s="1">
        <f>SUM(P.25!V40)</f>
        <v>90.243902439024396</v>
      </c>
      <c r="E16" s="1">
        <f>SUM(P.25!W40)</f>
        <v>83.769633507853399</v>
      </c>
      <c r="F16" s="464">
        <f>SUMIF(P.25!X40,"&gt;1",(P.25!X40))</f>
        <v>81.818181818181827</v>
      </c>
      <c r="G16" s="1">
        <f>SUM(P.25!Y40)</f>
        <v>93.442622950819683</v>
      </c>
      <c r="H16" s="1">
        <f>SUM(P.25!Z40)</f>
        <v>85.365853658536579</v>
      </c>
      <c r="I16" s="1">
        <f>SUM(P.25!AA40)</f>
        <v>88.888888888888886</v>
      </c>
      <c r="J16" s="2">
        <v>1814</v>
      </c>
      <c r="K16" s="13">
        <f>RANK(F16,$F$4:$F$25,1)+COUNTIF($F$4:F16,F16)-1</f>
        <v>2</v>
      </c>
      <c r="L16" s="14" t="str">
        <f>INDEX(B4:I25,MATCH(13,K4:K25,0),1)</f>
        <v>Rzeszów</v>
      </c>
      <c r="M16" s="1">
        <f>INDEX(B4:I25,MATCH(13,K4:K25,0),5)</f>
        <v>99.038461538461547</v>
      </c>
    </row>
    <row r="17" spans="1:13" x14ac:dyDescent="0.25">
      <c r="A17" s="9">
        <v>14</v>
      </c>
      <c r="B17" s="2" t="s">
        <v>82</v>
      </c>
      <c r="C17" s="1">
        <f>SUM(P.25!U41)</f>
        <v>79.816513761467888</v>
      </c>
      <c r="D17" s="1">
        <f>SUM(P.25!V41)</f>
        <v>79.166666666666657</v>
      </c>
      <c r="E17" s="1">
        <f>SUM(P.25!W41)</f>
        <v>80.188679245283026</v>
      </c>
      <c r="F17" s="464">
        <f>SUMIF(P.25!X41,"&gt;1",(P.25!X41))</f>
        <v>94.339622641509436</v>
      </c>
      <c r="G17" s="1">
        <f>SUM(P.25!Y41)</f>
        <v>96.969696969696969</v>
      </c>
      <c r="H17" s="1">
        <f>SUM(P.25!Z41)</f>
        <v>79.381443298969074</v>
      </c>
      <c r="I17" s="1">
        <f>SUM(P.25!AA41)</f>
        <v>92.307692307692307</v>
      </c>
      <c r="J17" s="2">
        <v>1815</v>
      </c>
      <c r="K17" s="13">
        <f>RANK(F17,$F$4:$F$25,1)+COUNTIF($F$4:F17,F17)-1</f>
        <v>5</v>
      </c>
      <c r="L17" s="14" t="str">
        <f>INDEX(B4:I25,MATCH(14,K4:K25,0),1)</f>
        <v>Tarnobrzeg</v>
      </c>
      <c r="M17" s="1">
        <f>INDEX(B4:I25,MATCH(14,K4:K25,0),5)</f>
        <v>99.371069182389931</v>
      </c>
    </row>
    <row r="18" spans="1:13" x14ac:dyDescent="0.25">
      <c r="A18" s="467">
        <v>15</v>
      </c>
      <c r="B18" s="468" t="s">
        <v>83</v>
      </c>
      <c r="C18" s="95">
        <f>SUM(P.25!U43)</f>
        <v>79.514824797843659</v>
      </c>
      <c r="D18" s="95">
        <f>SUM(P.25!V43)</f>
        <v>47.10144927536232</v>
      </c>
      <c r="E18" s="95">
        <f>SUM(P.25!W43)</f>
        <v>91.095890410958901</v>
      </c>
      <c r="F18" s="465">
        <f>SUMIF(P.25!X43,"&gt;1",(P.25!X43))</f>
        <v>99.038461538461547</v>
      </c>
      <c r="G18" s="95">
        <f>SUM(P.25!Y43)</f>
        <v>98.498498498498492</v>
      </c>
      <c r="H18" s="95">
        <f>SUM(P.25!Z43)</f>
        <v>89.029535864978897</v>
      </c>
      <c r="I18" s="95">
        <f>SUM(P.25!AA43)</f>
        <v>95.945945945945937</v>
      </c>
      <c r="J18" s="468" t="s">
        <v>136</v>
      </c>
      <c r="K18" s="12">
        <f>RANK(F18,$F$4:$F$25,1)+COUNTIF($F$4:F18,F18)-1</f>
        <v>13</v>
      </c>
      <c r="L18" s="2" t="str">
        <f>INDEX(B4:I25,MATCH(15,K4:K25,0),1)</f>
        <v>Ustrzyki Dolne</v>
      </c>
      <c r="M18" s="1">
        <f>INDEX(B4:I25,MATCH(15,K4:K25,0),5)</f>
        <v>100</v>
      </c>
    </row>
    <row r="19" spans="1:13" x14ac:dyDescent="0.25">
      <c r="A19" s="9">
        <v>16</v>
      </c>
      <c r="B19" s="2" t="s">
        <v>84</v>
      </c>
      <c r="C19" s="1">
        <f>SUM(P.25!U44)</f>
        <v>79.646017699115049</v>
      </c>
      <c r="D19" s="1">
        <f>SUM(P.25!V44)</f>
        <v>61.855670103092784</v>
      </c>
      <c r="E19" s="1">
        <f>SUM(P.25!W44)</f>
        <v>93.421052631578945</v>
      </c>
      <c r="F19" s="464">
        <f>SUMIF(P.25!X44,"&gt;1",(P.25!X44))</f>
        <v>88.888888888888886</v>
      </c>
      <c r="G19" s="1">
        <f>SUM(P.25!Y44)</f>
        <v>97.27272727272728</v>
      </c>
      <c r="H19" s="1">
        <f>SUM(P.25!Z44)</f>
        <v>92.20779220779221</v>
      </c>
      <c r="I19" s="1">
        <f>SUM(P.25!AA44)</f>
        <v>94.444444444444443</v>
      </c>
      <c r="J19" s="2">
        <v>1817</v>
      </c>
      <c r="K19" s="12">
        <f>RANK(F19,$F$4:$F$25,1)+COUNTIF($F$4:F19,F19)-1</f>
        <v>3</v>
      </c>
      <c r="L19" s="2" t="str">
        <f>INDEX(B4:I25,MATCH(16,K4:K25,0),1)</f>
        <v>Brzozów</v>
      </c>
      <c r="M19" s="1">
        <f>INDEX(B4:I25,MATCH(16,K4:K25,0),5)</f>
        <v>100</v>
      </c>
    </row>
    <row r="20" spans="1:13" x14ac:dyDescent="0.25">
      <c r="A20" s="9">
        <v>17</v>
      </c>
      <c r="B20" s="2" t="s">
        <v>85</v>
      </c>
      <c r="C20" s="1">
        <f>SUM(P.25!U45)</f>
        <v>85.051546391752581</v>
      </c>
      <c r="D20" s="1">
        <f>SUM(P.25!V45)</f>
        <v>56.756756756756758</v>
      </c>
      <c r="E20" s="1">
        <f>SUM(P.25!W45)</f>
        <v>100</v>
      </c>
      <c r="F20" s="464">
        <f>SUMIF(P.25!X45,"&gt;1",(P.25!X45))</f>
        <v>100</v>
      </c>
      <c r="G20" s="1">
        <f>SUM(P.25!Y45)</f>
        <v>96.721311475409834</v>
      </c>
      <c r="H20" s="1">
        <f>SUM(P.25!Z45)</f>
        <v>91.83673469387756</v>
      </c>
      <c r="I20" s="1">
        <f>SUM(P.25!AA45)</f>
        <v>87.096774193548384</v>
      </c>
      <c r="J20" s="2">
        <v>1818</v>
      </c>
      <c r="K20" s="12">
        <f>RANK(F20,$F$4:$F$25,1)+COUNTIF($F$4:F20,F20)-1</f>
        <v>22</v>
      </c>
      <c r="L20" s="2" t="str">
        <f>INDEX(B4:I25,MATCH(17,K4:K25,0),1)</f>
        <v>Dębica</v>
      </c>
      <c r="M20" s="1">
        <f>INDEX(B4:I25,MATCH(17,K4:K25,0),5)</f>
        <v>100</v>
      </c>
    </row>
    <row r="21" spans="1:13" x14ac:dyDescent="0.25">
      <c r="A21" s="9">
        <v>18</v>
      </c>
      <c r="B21" s="2" t="s">
        <v>86</v>
      </c>
      <c r="C21" s="1">
        <f>SUM(P.25!U46)</f>
        <v>84.859154929577457</v>
      </c>
      <c r="D21" s="1">
        <f>SUM(P.25!V46)</f>
        <v>63.768115942028977</v>
      </c>
      <c r="E21" s="1">
        <f>SUM(P.25!W46)</f>
        <v>100</v>
      </c>
      <c r="F21" s="464">
        <f>SUMIF(P.25!X46,"&gt;1",(P.25!X46))</f>
        <v>98.290598290598282</v>
      </c>
      <c r="G21" s="1">
        <f>SUM(P.25!Y46)</f>
        <v>100</v>
      </c>
      <c r="H21" s="1">
        <f>SUM(P.25!Z46)</f>
        <v>94.666666666666671</v>
      </c>
      <c r="I21" s="1">
        <f>SUM(P.25!AA46)</f>
        <v>88.888888888888886</v>
      </c>
      <c r="J21" s="2">
        <v>1819</v>
      </c>
      <c r="K21" s="12">
        <f>RANK(F21,$F$4:$F$25,1)+COUNTIF($F$4:F21,F21)-1</f>
        <v>12</v>
      </c>
      <c r="L21" s="2" t="str">
        <f>INDEX(B4:I25,MATCH(18,K4:K25,0),1)</f>
        <v>Krosno</v>
      </c>
      <c r="M21" s="1">
        <f>INDEX(B4:I25,MATCH(18,K4:K25,0),5)</f>
        <v>100</v>
      </c>
    </row>
    <row r="22" spans="1:13" x14ac:dyDescent="0.25">
      <c r="A22" s="467">
        <v>19</v>
      </c>
      <c r="B22" s="468" t="s">
        <v>87</v>
      </c>
      <c r="C22" s="95">
        <f>SUM(P.25!U47)</f>
        <v>84.491978609625676</v>
      </c>
      <c r="D22" s="95">
        <f>SUM(P.25!V47)</f>
        <v>44.444444444444443</v>
      </c>
      <c r="E22" s="95">
        <f>SUM(P.25!W47)</f>
        <v>97.849462365591393</v>
      </c>
      <c r="F22" s="465">
        <f>SUMIF(P.25!X47,"&gt;1",(P.25!X47))</f>
        <v>99.371069182389931</v>
      </c>
      <c r="G22" s="95">
        <f>SUM(P.25!Y47)</f>
        <v>97.560975609756099</v>
      </c>
      <c r="H22" s="95">
        <f>SUM(P.25!Z47)</f>
        <v>100</v>
      </c>
      <c r="I22" s="95">
        <f>SUM(P.25!AA47)</f>
        <v>100</v>
      </c>
      <c r="J22" s="468" t="s">
        <v>137</v>
      </c>
      <c r="K22" s="12">
        <f>RANK(F22,$F$4:$F$25,1)+COUNTIF($F$4:F22,F22)-1</f>
        <v>14</v>
      </c>
      <c r="L22" s="2" t="str">
        <f>INDEX(B4:I25,MATCH(19,K4:K25,0),1)</f>
        <v>Lubaczów</v>
      </c>
      <c r="M22" s="1">
        <f>INDEX(B4:I25,MATCH(19,K4:K25,0),5)</f>
        <v>100</v>
      </c>
    </row>
    <row r="23" spans="1:13" x14ac:dyDescent="0.25">
      <c r="A23" s="9">
        <v>20</v>
      </c>
      <c r="B23" s="2" t="s">
        <v>88</v>
      </c>
      <c r="C23" s="1">
        <f>SUM(P.25!U48)</f>
        <v>88.461538461538453</v>
      </c>
      <c r="D23" s="1">
        <f>SUM(P.25!V48)</f>
        <v>61.53846153846154</v>
      </c>
      <c r="E23" s="1">
        <f>SUM(P.25!W48)</f>
        <v>89.743589743589752</v>
      </c>
      <c r="F23" s="464">
        <f>SUMIF(P.25!X48,"&gt;1",(P.25!X48))</f>
        <v>96.969696969696969</v>
      </c>
      <c r="G23" s="1">
        <f>SUM(P.25!Y48)</f>
        <v>92.1875</v>
      </c>
      <c r="H23" s="1">
        <f>SUM(P.25!Z48)</f>
        <v>100</v>
      </c>
      <c r="I23" s="1">
        <f>SUM(P.25!AA48)</f>
        <v>77.272727272727266</v>
      </c>
      <c r="J23" s="2">
        <v>1821</v>
      </c>
      <c r="K23" s="12">
        <f>RANK(F23,$F$4:$F$25,1)+COUNTIF($F$4:F23,F23)-1</f>
        <v>9</v>
      </c>
      <c r="L23" s="2" t="str">
        <f>INDEX(B4:I25,MATCH(20,K4:K25,0),1)</f>
        <v>Łańcut</v>
      </c>
      <c r="M23" s="1">
        <f>INDEX(B4:I25,MATCH(20,K4:K25,0),5)</f>
        <v>100</v>
      </c>
    </row>
    <row r="24" spans="1:13" x14ac:dyDescent="0.25">
      <c r="A24" s="467">
        <v>21</v>
      </c>
      <c r="B24" s="468" t="s">
        <v>91</v>
      </c>
      <c r="C24" s="95">
        <f>SUM(P.25!U49)</f>
        <v>89.629629629629619</v>
      </c>
      <c r="D24" s="95">
        <f>SUM(P.25!V49)</f>
        <v>65.517241379310349</v>
      </c>
      <c r="E24" s="95">
        <f>SUM(P.25!W49)</f>
        <v>98.888888888888886</v>
      </c>
      <c r="F24" s="465">
        <f>SUMIF(P.25!X49,"&gt;1",(P.25!X49))</f>
        <v>94.444444444444443</v>
      </c>
      <c r="G24" s="95">
        <f>SUM(P.25!Y49)</f>
        <v>94.078947368421055</v>
      </c>
      <c r="H24" s="95">
        <f>SUM(P.25!Z49)</f>
        <v>92.134831460674164</v>
      </c>
      <c r="I24" s="95">
        <f>SUM(P.25!AA49)</f>
        <v>56.684491978609628</v>
      </c>
      <c r="J24" s="468" t="s">
        <v>135</v>
      </c>
      <c r="K24" s="12">
        <f>RANK(F24,$F$4:$F$25,1)+COUNTIF($F$4:F24,F24)-1</f>
        <v>6</v>
      </c>
      <c r="L24" s="2" t="str">
        <f>INDEX(B4:I25,MATCH(21,K4:K25,0),1)</f>
        <v>Mielec</v>
      </c>
      <c r="M24" s="1">
        <f>INDEX(B4:I25,MATCH(21,K4:K25,0),5)</f>
        <v>100</v>
      </c>
    </row>
    <row r="25" spans="1:13" x14ac:dyDescent="0.25">
      <c r="A25" s="9">
        <v>22</v>
      </c>
      <c r="B25" s="11" t="s">
        <v>94</v>
      </c>
      <c r="C25" s="1">
        <f>SUM(P.25!U50)</f>
        <v>82.448610797379715</v>
      </c>
      <c r="D25" s="1">
        <f>SUM(P.25!V50)</f>
        <v>51.242236024844722</v>
      </c>
      <c r="E25" s="1">
        <f>SUM(P.25!W50)</f>
        <v>93.262653898768804</v>
      </c>
      <c r="F25" s="464">
        <f>SUMIF(P.25!X50,"&gt;1",(P.25!X50))</f>
        <v>96.568977841315231</v>
      </c>
      <c r="G25" s="1">
        <f>SUM(P.25!Y50)</f>
        <v>97.348066298342545</v>
      </c>
      <c r="H25" s="1">
        <f>SUM(P.25!Z50)</f>
        <v>89.86486486486487</v>
      </c>
      <c r="I25" s="1">
        <f>SUM(P.25!AA50)</f>
        <v>82.754759238521842</v>
      </c>
      <c r="J25" s="2">
        <v>1800</v>
      </c>
      <c r="K25" s="12">
        <f>RANK(F25,$F$4:$F$25,1)+COUNTIF($F$4:F25,F25)-1</f>
        <v>8</v>
      </c>
      <c r="L25" s="2" t="str">
        <f>INDEX(B4:I25,MATCH(22,K4:K25,0),1)</f>
        <v>Stalowa Wola</v>
      </c>
      <c r="M25" s="1">
        <f>INDEX(B4:I25,MATCH(22,K4:K25,0),5)</f>
        <v>100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</row>
    <row r="28" spans="1:13" x14ac:dyDescent="0.25">
      <c r="A28" s="9">
        <v>2</v>
      </c>
      <c r="B28" s="10" t="s">
        <v>2</v>
      </c>
      <c r="C28" s="8" t="s">
        <v>143</v>
      </c>
      <c r="D28" s="17"/>
      <c r="E28" s="17"/>
      <c r="F28" s="17"/>
      <c r="G28" s="17"/>
      <c r="H28" s="17"/>
      <c r="I28" s="17"/>
      <c r="J28" s="17"/>
      <c r="K28" s="8"/>
    </row>
    <row r="29" spans="1:13" x14ac:dyDescent="0.25">
      <c r="A29" s="9">
        <v>3</v>
      </c>
      <c r="B29" s="10" t="s">
        <v>3</v>
      </c>
      <c r="C29" s="8" t="s">
        <v>143</v>
      </c>
    </row>
    <row r="30" spans="1:13" x14ac:dyDescent="0.25">
      <c r="A30" s="463">
        <v>4</v>
      </c>
      <c r="B30" s="466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D1B00-F6AE-42E9-8187-FBB96F93FFB7}">
  <sheetPr>
    <tabColor theme="0"/>
  </sheetPr>
  <dimension ref="A1:M33"/>
  <sheetViews>
    <sheetView zoomScale="80" zoomScaleNormal="80" workbookViewId="0">
      <selection activeCell="B31" sqref="B31"/>
    </sheetView>
  </sheetViews>
  <sheetFormatPr defaultRowHeight="15" x14ac:dyDescent="0.25"/>
  <cols>
    <col min="1" max="1" width="5.140625" style="8" customWidth="1"/>
    <col min="2" max="2" width="13.42578125" style="8" customWidth="1"/>
    <col min="3" max="3" width="8.28515625" style="8" customWidth="1"/>
    <col min="4" max="4" width="9.140625" style="8"/>
    <col min="5" max="5" width="11" style="8" customWidth="1"/>
    <col min="6" max="6" width="10.5703125" style="8" customWidth="1"/>
    <col min="7" max="7" width="10" style="8" customWidth="1"/>
    <col min="8" max="9" width="9.5703125" style="8" customWidth="1"/>
    <col min="10" max="10" width="11.5703125" style="5" customWidth="1"/>
    <col min="11" max="11" width="7.85546875" style="5" customWidth="1"/>
    <col min="12" max="12" width="14.42578125" style="5" customWidth="1"/>
    <col min="13" max="13" width="13.140625" style="8" customWidth="1"/>
    <col min="14" max="16384" width="9.140625" style="8"/>
  </cols>
  <sheetData>
    <row r="1" spans="1:13" x14ac:dyDescent="0.25">
      <c r="A1" s="8" t="s">
        <v>144</v>
      </c>
      <c r="B1" s="471">
        <v>2025</v>
      </c>
    </row>
    <row r="2" spans="1:13" x14ac:dyDescent="0.25">
      <c r="A2" s="8" t="s">
        <v>298</v>
      </c>
    </row>
    <row r="3" spans="1:13" x14ac:dyDescent="0.25">
      <c r="A3" s="463">
        <f>SUM(P.!K26)</f>
        <v>0</v>
      </c>
      <c r="B3" s="466" t="s">
        <v>95</v>
      </c>
      <c r="C3" s="463" t="s">
        <v>127</v>
      </c>
      <c r="D3" s="463" t="s">
        <v>126</v>
      </c>
      <c r="E3" s="463" t="s">
        <v>140</v>
      </c>
      <c r="F3" s="463" t="s">
        <v>130</v>
      </c>
      <c r="G3" s="463" t="s">
        <v>141</v>
      </c>
      <c r="H3" s="463" t="s">
        <v>139</v>
      </c>
      <c r="I3" s="463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1">
        <f>SUM(P.25!U27)</f>
        <v>87.628865979381445</v>
      </c>
      <c r="D4" s="1">
        <f>SUM(P.25!V27)</f>
        <v>53.846153846153847</v>
      </c>
      <c r="E4" s="1">
        <f>SUM(P.25!W27)</f>
        <v>96.226415094339629</v>
      </c>
      <c r="F4" s="1">
        <f>SUMIF(P.25!X27,"&gt;1",(P.25!X27))</f>
        <v>100</v>
      </c>
      <c r="G4" s="464">
        <f>SUMIF(P.25!Y27,"&gt;1",(P.25!Y27))</f>
        <v>97.560975609756099</v>
      </c>
      <c r="H4" s="1">
        <f>SUMIF(P.25!Z27,"&gt;1",(P.25!Z27))</f>
        <v>100</v>
      </c>
      <c r="I4" s="1">
        <f>SUMIF(P.25!AA27,"&gt;1",(P.25!AA27))</f>
        <v>76.923076923076934</v>
      </c>
      <c r="J4" s="2">
        <v>1801</v>
      </c>
      <c r="K4" s="12">
        <f>RANK(G4,$G$4:$G$25,1)+COUNTIF($G$4:G4,G4)-1</f>
        <v>11</v>
      </c>
      <c r="L4" s="2" t="str">
        <f>INDEX(B4:I25,MATCH(1,K4:K25,0),1)</f>
        <v>Leżajsk</v>
      </c>
      <c r="M4" s="1">
        <f>INDEX(B4:I25,MATCH(1,K4:K25,0),6)</f>
        <v>89.393939393939391</v>
      </c>
    </row>
    <row r="5" spans="1:13" x14ac:dyDescent="0.25">
      <c r="A5" s="9">
        <v>2</v>
      </c>
      <c r="B5" s="2" t="s">
        <v>70</v>
      </c>
      <c r="C5" s="1">
        <f>SUM(P.25!U28)</f>
        <v>88.135593220338976</v>
      </c>
      <c r="D5" s="1">
        <f>SUM(P.25!V28)</f>
        <v>94.444444444444443</v>
      </c>
      <c r="E5" s="1">
        <f>SUM(P.25!W28)</f>
        <v>98.550724637681171</v>
      </c>
      <c r="F5" s="1">
        <f>SUMIF(P.25!X28,"&gt;1",(P.25!X28))</f>
        <v>100</v>
      </c>
      <c r="G5" s="464">
        <f>SUM(P.25!Y28)</f>
        <v>99.242424242424249</v>
      </c>
      <c r="H5" s="1">
        <f>SUM(P.25!Z28)</f>
        <v>97.916666666666657</v>
      </c>
      <c r="I5" s="1">
        <f>SUM(P.25!AA28)</f>
        <v>89.830508474576277</v>
      </c>
      <c r="J5" s="2">
        <v>1802</v>
      </c>
      <c r="K5" s="12">
        <f>RANK(G5,$G$4:$G$25,1)+COUNTIF($G$4:G5,G5)-1</f>
        <v>14</v>
      </c>
      <c r="L5" s="11" t="str">
        <f>INDEX(B4:I25,MATCH(2,K4:K25,0),1)</f>
        <v>Lesko</v>
      </c>
      <c r="M5" s="1">
        <f>INDEX(B4:I25,MATCH(2,K4:K25,0),6)</f>
        <v>92.1875</v>
      </c>
    </row>
    <row r="6" spans="1:13" x14ac:dyDescent="0.25">
      <c r="A6" s="9">
        <v>3</v>
      </c>
      <c r="B6" s="2" t="s">
        <v>71</v>
      </c>
      <c r="C6" s="1">
        <f>SUM(P.25!U29)</f>
        <v>67.5</v>
      </c>
      <c r="D6" s="1">
        <f>SUM(P.25!V29)</f>
        <v>66.666666666666657</v>
      </c>
      <c r="E6" s="1">
        <f>SUM(P.25!W29)</f>
        <v>97.354497354497354</v>
      </c>
      <c r="F6" s="1">
        <f>SUMIF(P.25!X29,"&gt;1",(P.25!X29))</f>
        <v>100</v>
      </c>
      <c r="G6" s="464">
        <f>SUM(P.25!Y29)</f>
        <v>100</v>
      </c>
      <c r="H6" s="1">
        <f>SUM(P.25!Z29)</f>
        <v>100</v>
      </c>
      <c r="I6" s="1">
        <f>SUM(P.25!AA29)</f>
        <v>93.548387096774192</v>
      </c>
      <c r="J6" s="2">
        <v>1803</v>
      </c>
      <c r="K6" s="12">
        <f>RANK(G6,$G$4:$G$25,1)+COUNTIF($G$4:G6,G6)-1</f>
        <v>15</v>
      </c>
      <c r="L6" s="11" t="str">
        <f>INDEX(B4:I25,MATCH(3,K4:K25,0),1)</f>
        <v>Łańcut</v>
      </c>
      <c r="M6" s="1">
        <f>INDEX(B4:I25,MATCH(3,K4:K25,0),6)</f>
        <v>93.243243243243242</v>
      </c>
    </row>
    <row r="7" spans="1:13" x14ac:dyDescent="0.25">
      <c r="A7" s="9">
        <v>4</v>
      </c>
      <c r="B7" s="2" t="s">
        <v>72</v>
      </c>
      <c r="C7" s="1">
        <f>SUM(P.25!U30)</f>
        <v>88.549618320610691</v>
      </c>
      <c r="D7" s="1">
        <f>SUM(P.25!V30)</f>
        <v>72.727272727272734</v>
      </c>
      <c r="E7" s="1">
        <f>SUM(P.25!W30)</f>
        <v>98.425196850393704</v>
      </c>
      <c r="F7" s="1">
        <f>SUMIF(P.25!X30,"&gt;1",(P.25!X30))</f>
        <v>98.290598290598282</v>
      </c>
      <c r="G7" s="464">
        <f>SUM(P.25!Y30)</f>
        <v>100</v>
      </c>
      <c r="H7" s="1">
        <f>SUM(P.25!Z30)</f>
        <v>99.193548387096769</v>
      </c>
      <c r="I7" s="1">
        <f>SUM(P.25!AA30)</f>
        <v>80.645161290322577</v>
      </c>
      <c r="J7" s="2">
        <v>1804</v>
      </c>
      <c r="K7" s="12">
        <f>RANK(G7,$G$4:$G$25,1)+COUNTIF($G$4:G7,G7)-1</f>
        <v>16</v>
      </c>
      <c r="L7" s="11" t="str">
        <f>INDEX(B4:I25,MATCH(4,K4:K25,0),1)</f>
        <v>Przeworsk</v>
      </c>
      <c r="M7" s="1">
        <f>INDEX(B4:I25,MATCH(4,K4:K25,0),6)</f>
        <v>93.442622950819683</v>
      </c>
    </row>
    <row r="8" spans="1:13" x14ac:dyDescent="0.25">
      <c r="A8" s="9">
        <v>5</v>
      </c>
      <c r="B8" s="2" t="s">
        <v>73</v>
      </c>
      <c r="C8" s="1">
        <f>SUM(P.25!U31)</f>
        <v>87.793427230046944</v>
      </c>
      <c r="D8" s="1">
        <f>SUM(P.25!V31)</f>
        <v>40.54054054054054</v>
      </c>
      <c r="E8" s="1">
        <f>SUM(P.25!W31)</f>
        <v>92.592592592592595</v>
      </c>
      <c r="F8" s="1">
        <f>SUMIF(P.25!X31,"&gt;1",(P.25!X31))</f>
        <v>95.3125</v>
      </c>
      <c r="G8" s="464">
        <f>SUM(P.25!Y31)</f>
        <v>97.247706422018354</v>
      </c>
      <c r="H8" s="1">
        <f>SUM(P.25!Z31)</f>
        <v>86.021505376344081</v>
      </c>
      <c r="I8" s="1">
        <f>SUM(P.25!AA31)</f>
        <v>84.090909090909093</v>
      </c>
      <c r="J8" s="2">
        <v>1805</v>
      </c>
      <c r="K8" s="12">
        <f>RANK(G8,$G$4:$G$25,1)+COUNTIF($G$4:G8,G8)-1</f>
        <v>8</v>
      </c>
      <c r="L8" s="11" t="str">
        <f>INDEX(B4:I25,MATCH(5,K4:K25,0),1)</f>
        <v>Przemyśl</v>
      </c>
      <c r="M8" s="1">
        <f>INDEX(B4:I25,MATCH(5,K4:K25,0),6)</f>
        <v>94.078947368421055</v>
      </c>
    </row>
    <row r="9" spans="1:13" x14ac:dyDescent="0.25">
      <c r="A9" s="9">
        <v>6</v>
      </c>
      <c r="B9" s="2" t="s">
        <v>74</v>
      </c>
      <c r="C9" s="1">
        <f>SUM(P.25!U32)</f>
        <v>87.387387387387378</v>
      </c>
      <c r="D9" s="1">
        <f>SUM(P.25!V32)</f>
        <v>40</v>
      </c>
      <c r="E9" s="1">
        <f>SUM(P.25!W32)</f>
        <v>96.774193548387103</v>
      </c>
      <c r="F9" s="1">
        <f>SUMIF(P.25!X32,"&gt;1",(P.25!X32))</f>
        <v>94.117647058823522</v>
      </c>
      <c r="G9" s="464">
        <f>SUM(P.25!Y32)</f>
        <v>100</v>
      </c>
      <c r="H9" s="1">
        <f>SUM(P.25!Z32)</f>
        <v>98.591549295774655</v>
      </c>
      <c r="I9" s="562">
        <f>SUMIF(P.25!AA32,"&gt;1",(P.25!AA32))</f>
        <v>0</v>
      </c>
      <c r="J9" s="2">
        <v>1806</v>
      </c>
      <c r="K9" s="12">
        <f>RANK(G9,$G$4:$G$25,1)+COUNTIF($G$4:G9,G9)-1</f>
        <v>17</v>
      </c>
      <c r="L9" s="11" t="str">
        <f>INDEX(B4:I25,MATCH(6,K4:K25,0),1)</f>
        <v>Stalowa Wola</v>
      </c>
      <c r="M9" s="1">
        <f>INDEX(B4:I25,MATCH(6,K4:K25,0),6)</f>
        <v>96.721311475409834</v>
      </c>
    </row>
    <row r="10" spans="1:13" x14ac:dyDescent="0.25">
      <c r="A10" s="467">
        <v>7</v>
      </c>
      <c r="B10" s="468" t="s">
        <v>75</v>
      </c>
      <c r="C10" s="95">
        <f>SUM(P.25!U33)</f>
        <v>86.666666666666671</v>
      </c>
      <c r="D10" s="95">
        <f>SUM(P.25!V33)</f>
        <v>43.75</v>
      </c>
      <c r="E10" s="95">
        <f>SUM(P.25!W33)</f>
        <v>100</v>
      </c>
      <c r="F10" s="95">
        <f>SUMIF(P.25!X33,"&gt;1",(P.25!X33))</f>
        <v>100</v>
      </c>
      <c r="G10" s="465">
        <f>SUM(P.25!Y33)</f>
        <v>100</v>
      </c>
      <c r="H10" s="95">
        <f>SUM(P.25!Z33)</f>
        <v>83.15789473684211</v>
      </c>
      <c r="I10" s="95">
        <f>SUM(P.25!AA33)</f>
        <v>97.058823529411768</v>
      </c>
      <c r="J10" s="468" t="s">
        <v>134</v>
      </c>
      <c r="K10" s="12">
        <f>RANK(G10,$G$4:$G$25,1)+COUNTIF($G$4:G10,G10)-1</f>
        <v>18</v>
      </c>
      <c r="L10" s="11" t="str">
        <f>INDEX(B4:I25,MATCH(7,K4:K25,0),1)</f>
        <v>Ropczyce</v>
      </c>
      <c r="M10" s="1">
        <f>INDEX(B4:I25,MATCH(7,K4:K25,0),6)</f>
        <v>96.969696969696969</v>
      </c>
    </row>
    <row r="11" spans="1:13" x14ac:dyDescent="0.25">
      <c r="A11" s="9">
        <v>8</v>
      </c>
      <c r="B11" s="2" t="s">
        <v>76</v>
      </c>
      <c r="C11" s="1">
        <f>SUM(P.25!U35)</f>
        <v>85.318559556786695</v>
      </c>
      <c r="D11" s="1">
        <f>SUM(P.25!V35)</f>
        <v>18.604651162790699</v>
      </c>
      <c r="E11" s="1">
        <f>SUM(P.25!W35)</f>
        <v>95.945945945945937</v>
      </c>
      <c r="F11" s="1">
        <f>SUMIF(P.25!X35,"&gt;1",(P.25!X35))</f>
        <v>97.163120567375884</v>
      </c>
      <c r="G11" s="464">
        <f>SUM(P.25!Y35)</f>
        <v>89.393939393939391</v>
      </c>
      <c r="H11" s="1">
        <f>SUM(P.25!Z35)</f>
        <v>78.94736842105263</v>
      </c>
      <c r="I11" s="1">
        <f>SUM(P.25!AA35)</f>
        <v>87.5</v>
      </c>
      <c r="J11" s="2">
        <v>1808</v>
      </c>
      <c r="K11" s="12">
        <f>RANK(G11,$G$4:$G$25,1)+COUNTIF($G$4:G11,G11)-1</f>
        <v>1</v>
      </c>
      <c r="L11" s="11" t="str">
        <f>INDEX(B4:I25,MATCH(8,K4:K25,0),1)</f>
        <v>Jasło</v>
      </c>
      <c r="M11" s="1">
        <f>INDEX(B4:I25,MATCH(8,K4:K25,0),6)</f>
        <v>97.247706422018354</v>
      </c>
    </row>
    <row r="12" spans="1:13" x14ac:dyDescent="0.25">
      <c r="A12" s="9">
        <v>9</v>
      </c>
      <c r="B12" s="2" t="s">
        <v>77</v>
      </c>
      <c r="C12" s="1">
        <f>SUM(P.25!U36)</f>
        <v>85.507246376811594</v>
      </c>
      <c r="D12" s="1">
        <f>SUM(P.25!V36)</f>
        <v>100</v>
      </c>
      <c r="E12" s="1">
        <f>SUM(P.25!W36)</f>
        <v>98.666666666666671</v>
      </c>
      <c r="F12" s="1">
        <f>SUMIF(P.25!X36,"&gt;1",(P.25!X36))</f>
        <v>100</v>
      </c>
      <c r="G12" s="464">
        <f>SUM(P.25!Y36)</f>
        <v>100</v>
      </c>
      <c r="H12" s="464">
        <f>SUMIF(P.25!Z36,"&gt;1",(P.25!Z36))</f>
        <v>100</v>
      </c>
      <c r="I12" s="1">
        <f>SUM(P.25!AA36)</f>
        <v>90.277777777777786</v>
      </c>
      <c r="J12" s="2">
        <v>1809</v>
      </c>
      <c r="K12" s="12">
        <f>RANK(G12,$G$4:$G$25,1)+COUNTIF($G$4:G12,G12)-1</f>
        <v>19</v>
      </c>
      <c r="L12" s="11" t="str">
        <f>INDEX(B4:I25,MATCH(9,K4:K25,0),1)</f>
        <v>Sanok</v>
      </c>
      <c r="M12" s="1">
        <f>INDEX(B4:I25,MATCH(9,K4:K25,0),6)</f>
        <v>97.27272727272728</v>
      </c>
    </row>
    <row r="13" spans="1:13" x14ac:dyDescent="0.25">
      <c r="A13" s="9">
        <v>10</v>
      </c>
      <c r="B13" s="2" t="s">
        <v>78</v>
      </c>
      <c r="C13" s="1">
        <f>SUM(P.25!U37)</f>
        <v>75.352112676056336</v>
      </c>
      <c r="D13" s="1">
        <f>SUM(P.25!V37)</f>
        <v>52.459016393442624</v>
      </c>
      <c r="E13" s="1">
        <f>SUM(P.25!W37)</f>
        <v>99.173553719008268</v>
      </c>
      <c r="F13" s="1">
        <f>SUMIF(P.25!X37,"&gt;1",(P.25!X37))</f>
        <v>100</v>
      </c>
      <c r="G13" s="464">
        <f>SUM(P.25!Y37)</f>
        <v>93.243243243243242</v>
      </c>
      <c r="H13" s="1">
        <f>SUM(P.25!Z37)</f>
        <v>85.507246376811594</v>
      </c>
      <c r="I13" s="1">
        <f>SUM(P.25!AA37)</f>
        <v>95.833333333333343</v>
      </c>
      <c r="J13" s="2">
        <v>1810</v>
      </c>
      <c r="K13" s="12">
        <f>RANK(G13,$G$4:$G$25,1)+COUNTIF($G$4:G13,G13)-1</f>
        <v>3</v>
      </c>
      <c r="L13" s="469" t="str">
        <f>INDEX(B4:I25,MATCH(10,K4:K25,0),1)</f>
        <v>Podkarpacie</v>
      </c>
      <c r="M13" s="464">
        <f>INDEX(B4:I25,MATCH(10,K4:K25,0),6)</f>
        <v>97.348066298342545</v>
      </c>
    </row>
    <row r="14" spans="1:13" x14ac:dyDescent="0.25">
      <c r="A14" s="9">
        <v>11</v>
      </c>
      <c r="B14" s="2" t="s">
        <v>79</v>
      </c>
      <c r="C14" s="1">
        <f>SUM(P.25!U38)</f>
        <v>78.542510121457482</v>
      </c>
      <c r="D14" s="1">
        <f>SUM(P.25!V38)</f>
        <v>57.142857142857139</v>
      </c>
      <c r="E14" s="1">
        <f>SUM(P.25!W38)</f>
        <v>80.314960629921259</v>
      </c>
      <c r="F14" s="1">
        <f>SUMIF(P.25!X38,"&gt;1",(P.25!X38))</f>
        <v>100</v>
      </c>
      <c r="G14" s="464">
        <f>SUM(P.25!Y38)</f>
        <v>100</v>
      </c>
      <c r="H14" s="1">
        <f>SUM(P.25!Z38)</f>
        <v>85.714285714285708</v>
      </c>
      <c r="I14" s="1">
        <f>SUM(P.25!AA38)</f>
        <v>100</v>
      </c>
      <c r="J14" s="2">
        <v>1811</v>
      </c>
      <c r="K14" s="12">
        <f>RANK(G14,$G$4:$G$25,1)+COUNTIF($G$4:G14,G14)-1</f>
        <v>20</v>
      </c>
      <c r="L14" s="57" t="str">
        <f>INDEX(B4:I25,MATCH(11,K4:K25,0),1)</f>
        <v>Ustrzyki Dolne</v>
      </c>
      <c r="M14" s="15">
        <f>INDEX(B4:I25,MATCH(11,K4:K25,0),6)</f>
        <v>97.560975609756099</v>
      </c>
    </row>
    <row r="15" spans="1:13" x14ac:dyDescent="0.25">
      <c r="A15" s="9">
        <v>12</v>
      </c>
      <c r="B15" s="2" t="s">
        <v>80</v>
      </c>
      <c r="C15" s="1">
        <f>SUM(P.25!U39)</f>
        <v>67.164179104477611</v>
      </c>
      <c r="D15" s="1">
        <f>SUM(P.25!V39)</f>
        <v>40</v>
      </c>
      <c r="E15" s="1">
        <f>SUM(P.25!W39)</f>
        <v>87.937743190661479</v>
      </c>
      <c r="F15" s="1">
        <f>SUMIF(P.25!X39,"&gt;1",(P.25!X39))</f>
        <v>69.230769230769226</v>
      </c>
      <c r="G15" s="464">
        <f>SUM(P.25!Y39)</f>
        <v>100</v>
      </c>
      <c r="H15" s="1">
        <f>SUM(P.25!Z39)</f>
        <v>88.888888888888886</v>
      </c>
      <c r="I15" s="1">
        <f>SUM(P.25!AA39)</f>
        <v>91.666666666666657</v>
      </c>
      <c r="J15" s="2">
        <v>1812</v>
      </c>
      <c r="K15" s="12">
        <f>RANK(G15,$G$4:$G$25,1)+COUNTIF($G$4:G15,G15)-1</f>
        <v>21</v>
      </c>
      <c r="L15" s="11" t="str">
        <f>INDEX(B4:I25,MATCH(12,K4:K25,0),1)</f>
        <v>Tarnobrzeg</v>
      </c>
      <c r="M15" s="1">
        <f>INDEX(B4:I25,MATCH(12,K4:K25,0),6)</f>
        <v>97.560975609756099</v>
      </c>
    </row>
    <row r="16" spans="1:13" x14ac:dyDescent="0.25">
      <c r="A16" s="9">
        <v>13</v>
      </c>
      <c r="B16" s="2" t="s">
        <v>81</v>
      </c>
      <c r="C16" s="1">
        <f>SUM(P.25!U40)</f>
        <v>77.5</v>
      </c>
      <c r="D16" s="1">
        <f>SUM(P.25!V40)</f>
        <v>90.243902439024396</v>
      </c>
      <c r="E16" s="1">
        <f>SUM(P.25!W40)</f>
        <v>83.769633507853399</v>
      </c>
      <c r="F16" s="1">
        <f>SUMIF(P.25!X40,"&gt;1",(P.25!X40))</f>
        <v>81.818181818181827</v>
      </c>
      <c r="G16" s="464">
        <f>SUM(P.25!Y40)</f>
        <v>93.442622950819683</v>
      </c>
      <c r="H16" s="1">
        <f>SUM(P.25!Z40)</f>
        <v>85.365853658536579</v>
      </c>
      <c r="I16" s="1">
        <f>SUM(P.25!AA40)</f>
        <v>88.888888888888886</v>
      </c>
      <c r="J16" s="2">
        <v>1814</v>
      </c>
      <c r="K16" s="13">
        <f>RANK(G16,$G$4:$G$25,1)+COUNTIF($G$4:G16,G16)-1</f>
        <v>4</v>
      </c>
      <c r="L16" s="14" t="str">
        <f>INDEX(B4:I25,MATCH(13,K4:K25,0),1)</f>
        <v>Rzeszów</v>
      </c>
      <c r="M16" s="1">
        <f>INDEX(B4:I25,MATCH(13,K4:K25,0),6)</f>
        <v>98.498498498498492</v>
      </c>
    </row>
    <row r="17" spans="1:13" x14ac:dyDescent="0.25">
      <c r="A17" s="9">
        <v>14</v>
      </c>
      <c r="B17" s="2" t="s">
        <v>82</v>
      </c>
      <c r="C17" s="1">
        <f>SUM(P.25!U41)</f>
        <v>79.816513761467888</v>
      </c>
      <c r="D17" s="1">
        <f>SUM(P.25!V41)</f>
        <v>79.166666666666657</v>
      </c>
      <c r="E17" s="1">
        <f>SUM(P.25!W41)</f>
        <v>80.188679245283026</v>
      </c>
      <c r="F17" s="1">
        <f>SUMIF(P.25!X41,"&gt;1",(P.25!X41))</f>
        <v>94.339622641509436</v>
      </c>
      <c r="G17" s="464">
        <f>SUM(P.25!Y41)</f>
        <v>96.969696969696969</v>
      </c>
      <c r="H17" s="1">
        <f>SUM(P.25!Z41)</f>
        <v>79.381443298969074</v>
      </c>
      <c r="I17" s="1">
        <f>SUM(P.25!AA41)</f>
        <v>92.307692307692307</v>
      </c>
      <c r="J17" s="2">
        <v>1815</v>
      </c>
      <c r="K17" s="13">
        <f>RANK(G17,$G$4:$G$25,1)+COUNTIF($G$4:G17,G17)-1</f>
        <v>7</v>
      </c>
      <c r="L17" s="14" t="str">
        <f>INDEX(B4:I25,MATCH(14,K4:K25,0),1)</f>
        <v>Brzozów</v>
      </c>
      <c r="M17" s="1">
        <f>INDEX(B4:I25,MATCH(14,K4:K25,0),6)</f>
        <v>99.242424242424249</v>
      </c>
    </row>
    <row r="18" spans="1:13" x14ac:dyDescent="0.25">
      <c r="A18" s="467">
        <v>15</v>
      </c>
      <c r="B18" s="468" t="s">
        <v>83</v>
      </c>
      <c r="C18" s="95">
        <f>SUM(P.25!U43)</f>
        <v>79.514824797843659</v>
      </c>
      <c r="D18" s="95">
        <f>SUM(P.25!V43)</f>
        <v>47.10144927536232</v>
      </c>
      <c r="E18" s="95">
        <f>SUM(P.25!W43)</f>
        <v>91.095890410958901</v>
      </c>
      <c r="F18" s="95">
        <f>SUMIF(P.25!X43,"&gt;1",(P.25!X43))</f>
        <v>99.038461538461547</v>
      </c>
      <c r="G18" s="465">
        <f>SUM(P.25!Y43)</f>
        <v>98.498498498498492</v>
      </c>
      <c r="H18" s="95">
        <f>SUM(P.25!Z43)</f>
        <v>89.029535864978897</v>
      </c>
      <c r="I18" s="95">
        <f>SUM(P.25!AA43)</f>
        <v>95.945945945945937</v>
      </c>
      <c r="J18" s="468" t="s">
        <v>136</v>
      </c>
      <c r="K18" s="12">
        <f>RANK(G18,$G$4:$G$25,1)+COUNTIF($G$4:G18,G18)-1</f>
        <v>13</v>
      </c>
      <c r="L18" s="2" t="str">
        <f>INDEX(B4:I25,MATCH(15,K4:K25,0),1)</f>
        <v>Dębica</v>
      </c>
      <c r="M18" s="1">
        <f>INDEX(B4:I25,MATCH(15,K4:K25,0),6)</f>
        <v>100</v>
      </c>
    </row>
    <row r="19" spans="1:13" x14ac:dyDescent="0.25">
      <c r="A19" s="9">
        <v>16</v>
      </c>
      <c r="B19" s="2" t="s">
        <v>84</v>
      </c>
      <c r="C19" s="1">
        <f>SUM(P.25!U44)</f>
        <v>79.646017699115049</v>
      </c>
      <c r="D19" s="1">
        <f>SUM(P.25!V44)</f>
        <v>61.855670103092784</v>
      </c>
      <c r="E19" s="1">
        <f>SUM(P.25!W44)</f>
        <v>93.421052631578945</v>
      </c>
      <c r="F19" s="1">
        <f>SUMIF(P.25!X44,"&gt;1",(P.25!X44))</f>
        <v>88.888888888888886</v>
      </c>
      <c r="G19" s="464">
        <f>SUM(P.25!Y44)</f>
        <v>97.27272727272728</v>
      </c>
      <c r="H19" s="1">
        <f>SUM(P.25!Z44)</f>
        <v>92.20779220779221</v>
      </c>
      <c r="I19" s="1">
        <f>SUM(P.25!AA44)</f>
        <v>94.444444444444443</v>
      </c>
      <c r="J19" s="2">
        <v>1817</v>
      </c>
      <c r="K19" s="12">
        <f>RANK(G19,$G$4:$G$25,1)+COUNTIF($G$4:G19,G19)-1</f>
        <v>9</v>
      </c>
      <c r="L19" s="2" t="str">
        <f>INDEX(B4:I25,MATCH(16,K4:K25,0),1)</f>
        <v>Jarosław</v>
      </c>
      <c r="M19" s="1">
        <f>INDEX(B4:I25,MATCH(16,K4:K25,0),6)</f>
        <v>100</v>
      </c>
    </row>
    <row r="20" spans="1:13" x14ac:dyDescent="0.25">
      <c r="A20" s="9">
        <v>17</v>
      </c>
      <c r="B20" s="2" t="s">
        <v>85</v>
      </c>
      <c r="C20" s="1">
        <f>SUM(P.25!U45)</f>
        <v>85.051546391752581</v>
      </c>
      <c r="D20" s="1">
        <f>SUM(P.25!V45)</f>
        <v>56.756756756756758</v>
      </c>
      <c r="E20" s="1">
        <f>SUM(P.25!W45)</f>
        <v>100</v>
      </c>
      <c r="F20" s="1">
        <f>SUMIF(P.25!X45,"&gt;1",(P.25!X45))</f>
        <v>100</v>
      </c>
      <c r="G20" s="464">
        <f>SUM(P.25!Y45)</f>
        <v>96.721311475409834</v>
      </c>
      <c r="H20" s="1">
        <f>SUM(P.25!Z45)</f>
        <v>91.83673469387756</v>
      </c>
      <c r="I20" s="1">
        <f>SUM(P.25!AA45)</f>
        <v>87.096774193548384</v>
      </c>
      <c r="J20" s="2">
        <v>1818</v>
      </c>
      <c r="K20" s="12">
        <f>RANK(G20,$G$4:$G$25,1)+COUNTIF($G$4:G20,G20)-1</f>
        <v>6</v>
      </c>
      <c r="L20" s="2" t="str">
        <f>INDEX(B4:I25,MATCH(17,K4:K25,0),1)</f>
        <v>Kolbuszowa</v>
      </c>
      <c r="M20" s="1">
        <f>INDEX(B4:I25,MATCH(17,K4:K25,0),6)</f>
        <v>100</v>
      </c>
    </row>
    <row r="21" spans="1:13" x14ac:dyDescent="0.25">
      <c r="A21" s="9">
        <v>18</v>
      </c>
      <c r="B21" s="2" t="s">
        <v>86</v>
      </c>
      <c r="C21" s="1">
        <f>SUM(P.25!U46)</f>
        <v>84.859154929577457</v>
      </c>
      <c r="D21" s="1">
        <f>SUM(P.25!V46)</f>
        <v>63.768115942028977</v>
      </c>
      <c r="E21" s="1">
        <f>SUM(P.25!W46)</f>
        <v>100</v>
      </c>
      <c r="F21" s="1">
        <f>SUMIF(P.25!X46,"&gt;1",(P.25!X46))</f>
        <v>98.290598290598282</v>
      </c>
      <c r="G21" s="464">
        <f>SUM(P.25!Y46)</f>
        <v>100</v>
      </c>
      <c r="H21" s="1">
        <f>SUM(P.25!Z46)</f>
        <v>94.666666666666671</v>
      </c>
      <c r="I21" s="1">
        <f>SUM(P.25!AA46)</f>
        <v>88.888888888888886</v>
      </c>
      <c r="J21" s="2">
        <v>1819</v>
      </c>
      <c r="K21" s="12">
        <f>RANK(G21,$G$4:$G$25,1)+COUNTIF($G$4:G21,G21)-1</f>
        <v>22</v>
      </c>
      <c r="L21" s="2" t="str">
        <f>INDEX(B4:I25,MATCH(18,K4:K25,0),1)</f>
        <v>Krosno</v>
      </c>
      <c r="M21" s="1">
        <f>INDEX(B4:I25,MATCH(18,K4:K25,0),6)</f>
        <v>100</v>
      </c>
    </row>
    <row r="22" spans="1:13" x14ac:dyDescent="0.25">
      <c r="A22" s="467">
        <v>19</v>
      </c>
      <c r="B22" s="468" t="s">
        <v>87</v>
      </c>
      <c r="C22" s="95">
        <f>SUM(P.25!U47)</f>
        <v>84.491978609625676</v>
      </c>
      <c r="D22" s="95">
        <f>SUM(P.25!V47)</f>
        <v>44.444444444444443</v>
      </c>
      <c r="E22" s="95">
        <f>SUM(P.25!W47)</f>
        <v>97.849462365591393</v>
      </c>
      <c r="F22" s="95">
        <f>SUMIF(P.25!X47,"&gt;1",(P.25!X47))</f>
        <v>99.371069182389931</v>
      </c>
      <c r="G22" s="465">
        <f>SUM(P.25!Y47)</f>
        <v>97.560975609756099</v>
      </c>
      <c r="H22" s="95">
        <f>SUM(P.25!Z47)</f>
        <v>100</v>
      </c>
      <c r="I22" s="95">
        <f>SUM(P.25!AA47)</f>
        <v>100</v>
      </c>
      <c r="J22" s="468" t="s">
        <v>137</v>
      </c>
      <c r="K22" s="12">
        <f>RANK(G22,$G$4:$G$25,1)+COUNTIF($G$4:G22,G22)-1</f>
        <v>12</v>
      </c>
      <c r="L22" s="2" t="str">
        <f>INDEX(B4:I25,MATCH(19,K4:K25,0),1)</f>
        <v>Lubaczów</v>
      </c>
      <c r="M22" s="1">
        <f>INDEX(B4:I25,MATCH(19,K4:K25,0),6)</f>
        <v>100</v>
      </c>
    </row>
    <row r="23" spans="1:13" x14ac:dyDescent="0.25">
      <c r="A23" s="9">
        <v>20</v>
      </c>
      <c r="B23" s="2" t="s">
        <v>88</v>
      </c>
      <c r="C23" s="1">
        <f>SUM(P.25!U48)</f>
        <v>88.461538461538453</v>
      </c>
      <c r="D23" s="1">
        <f>SUM(P.25!V48)</f>
        <v>61.53846153846154</v>
      </c>
      <c r="E23" s="1">
        <f>SUM(P.25!W48)</f>
        <v>89.743589743589752</v>
      </c>
      <c r="F23" s="1">
        <f>SUMIF(P.25!X48,"&gt;1",(P.25!X48))</f>
        <v>96.969696969696969</v>
      </c>
      <c r="G23" s="464">
        <f>SUM(P.25!Y48)</f>
        <v>92.1875</v>
      </c>
      <c r="H23" s="1">
        <f>SUM(P.25!Z48)</f>
        <v>100</v>
      </c>
      <c r="I23" s="1">
        <f>SUM(P.25!AA48)</f>
        <v>77.272727272727266</v>
      </c>
      <c r="J23" s="2">
        <v>1821</v>
      </c>
      <c r="K23" s="12">
        <f>RANK(G23,$G$4:$G$25,1)+COUNTIF($G$4:G23,G23)-1</f>
        <v>2</v>
      </c>
      <c r="L23" s="2" t="str">
        <f>INDEX(B4:I25,MATCH(20,K4:K25,0),1)</f>
        <v>Mielec</v>
      </c>
      <c r="M23" s="1">
        <f>INDEX(B4:I25,MATCH(20,K4:K25,0),6)</f>
        <v>100</v>
      </c>
    </row>
    <row r="24" spans="1:13" x14ac:dyDescent="0.25">
      <c r="A24" s="467">
        <v>21</v>
      </c>
      <c r="B24" s="468" t="s">
        <v>91</v>
      </c>
      <c r="C24" s="95">
        <f>SUM(P.25!U49)</f>
        <v>89.629629629629619</v>
      </c>
      <c r="D24" s="95">
        <f>SUM(P.25!V49)</f>
        <v>65.517241379310349</v>
      </c>
      <c r="E24" s="95">
        <f>SUM(P.25!W49)</f>
        <v>98.888888888888886</v>
      </c>
      <c r="F24" s="95">
        <f>SUMIF(P.25!X49,"&gt;1",(P.25!X49))</f>
        <v>94.444444444444443</v>
      </c>
      <c r="G24" s="465">
        <f>SUM(P.25!Y49)</f>
        <v>94.078947368421055</v>
      </c>
      <c r="H24" s="95">
        <f>SUM(P.25!Z49)</f>
        <v>92.134831460674164</v>
      </c>
      <c r="I24" s="95">
        <f>SUM(P.25!AA49)</f>
        <v>56.684491978609628</v>
      </c>
      <c r="J24" s="468" t="s">
        <v>135</v>
      </c>
      <c r="K24" s="12">
        <f>RANK(G24,$G$4:$G$25,1)+COUNTIF($G$4:G24,G24)-1</f>
        <v>5</v>
      </c>
      <c r="L24" s="2" t="str">
        <f>INDEX(B4:I25,MATCH(21,K4:K25,0),1)</f>
        <v>Nisko</v>
      </c>
      <c r="M24" s="1">
        <f>INDEX(B4:I25,MATCH(21,K4:K25,0),6)</f>
        <v>100</v>
      </c>
    </row>
    <row r="25" spans="1:13" x14ac:dyDescent="0.25">
      <c r="A25" s="9">
        <v>22</v>
      </c>
      <c r="B25" s="11" t="s">
        <v>94</v>
      </c>
      <c r="C25" s="1">
        <f>SUM(P.25!U50)</f>
        <v>82.448610797379715</v>
      </c>
      <c r="D25" s="1">
        <f>SUM(P.25!V50)</f>
        <v>51.242236024844722</v>
      </c>
      <c r="E25" s="1">
        <f>SUM(P.25!W50)</f>
        <v>93.262653898768804</v>
      </c>
      <c r="F25" s="1">
        <f>SUMIF(P.25!X50,"&gt;1",(P.25!X50))</f>
        <v>96.568977841315231</v>
      </c>
      <c r="G25" s="464">
        <f>SUM(P.25!Y50)</f>
        <v>97.348066298342545</v>
      </c>
      <c r="H25" s="1">
        <f>SUM(P.25!Z50)</f>
        <v>89.86486486486487</v>
      </c>
      <c r="I25" s="1">
        <f>SUM(P.25!AA50)</f>
        <v>82.754759238521842</v>
      </c>
      <c r="J25" s="2">
        <v>1800</v>
      </c>
      <c r="K25" s="12">
        <f>RANK(G25,$G$4:$G$25,1)+COUNTIF($G$4:G25,G25)-1</f>
        <v>10</v>
      </c>
      <c r="L25" s="2" t="str">
        <f>INDEX(B4:I25,MATCH(22,K4:K25,0),1)</f>
        <v>Strzyżów</v>
      </c>
      <c r="M25" s="1">
        <f>INDEX(B4:I25,MATCH(22,K4:K25,0),6)</f>
        <v>100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</row>
    <row r="28" spans="1:13" x14ac:dyDescent="0.25">
      <c r="A28" s="9">
        <v>2</v>
      </c>
      <c r="B28" s="10" t="s">
        <v>2</v>
      </c>
      <c r="C28" s="8" t="s">
        <v>143</v>
      </c>
      <c r="D28" s="17"/>
      <c r="E28" s="17"/>
      <c r="F28" s="17"/>
      <c r="G28" s="17"/>
      <c r="H28" s="17"/>
      <c r="I28" s="17"/>
      <c r="J28" s="17"/>
      <c r="K28" s="8"/>
    </row>
    <row r="29" spans="1:13" x14ac:dyDescent="0.25">
      <c r="A29" s="9">
        <v>3</v>
      </c>
      <c r="B29" s="10" t="s">
        <v>3</v>
      </c>
      <c r="C29" s="8" t="s">
        <v>143</v>
      </c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294">
        <v>5</v>
      </c>
      <c r="B31" s="295" t="s">
        <v>316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D5BCC-24C0-495B-ABE3-4DFD50846C41}">
  <sheetPr>
    <tabColor theme="0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2" width="13.42578125" style="8" customWidth="1"/>
    <col min="3" max="3" width="8.28515625" style="8" customWidth="1"/>
    <col min="4" max="4" width="9.140625" style="8"/>
    <col min="5" max="5" width="11" style="8" customWidth="1"/>
    <col min="6" max="6" width="10.5703125" style="8" customWidth="1"/>
    <col min="7" max="7" width="10" style="8" customWidth="1"/>
    <col min="8" max="8" width="10.140625" style="8" customWidth="1"/>
    <col min="9" max="9" width="9.5703125" style="8" customWidth="1"/>
    <col min="10" max="10" width="11.28515625" style="5" customWidth="1"/>
    <col min="11" max="11" width="6.7109375" style="5" customWidth="1"/>
    <col min="12" max="12" width="14.42578125" style="5" customWidth="1"/>
    <col min="13" max="13" width="13.85546875" style="8" customWidth="1"/>
    <col min="14" max="16384" width="9.140625" style="8"/>
  </cols>
  <sheetData>
    <row r="1" spans="1:13" x14ac:dyDescent="0.25">
      <c r="A1" s="8" t="s">
        <v>133</v>
      </c>
      <c r="B1" s="471">
        <v>2025</v>
      </c>
    </row>
    <row r="2" spans="1:13" x14ac:dyDescent="0.25">
      <c r="A2" s="8" t="s">
        <v>298</v>
      </c>
    </row>
    <row r="3" spans="1:13" x14ac:dyDescent="0.25">
      <c r="A3" s="463">
        <f>SUM(P.!K26)</f>
        <v>0</v>
      </c>
      <c r="B3" s="466" t="s">
        <v>95</v>
      </c>
      <c r="C3" s="463" t="s">
        <v>127</v>
      </c>
      <c r="D3" s="463" t="s">
        <v>126</v>
      </c>
      <c r="E3" s="463" t="s">
        <v>140</v>
      </c>
      <c r="F3" s="463" t="s">
        <v>130</v>
      </c>
      <c r="G3" s="463" t="s">
        <v>141</v>
      </c>
      <c r="H3" s="463" t="s">
        <v>139</v>
      </c>
      <c r="I3" s="463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1">
        <f>SUM(P.25!U27)</f>
        <v>87.628865979381445</v>
      </c>
      <c r="D4" s="1">
        <f>SUM(P.25!V27)</f>
        <v>53.846153846153847</v>
      </c>
      <c r="E4" s="1">
        <f>SUM(P.25!W27)</f>
        <v>96.226415094339629</v>
      </c>
      <c r="F4" s="1">
        <f>SUMIF(P.25!X27,"&gt;1",(P.25!X27))</f>
        <v>100</v>
      </c>
      <c r="G4" s="1">
        <f>SUMIF(P.25!Y27,"&gt;1",(P.25!Y27))</f>
        <v>97.560975609756099</v>
      </c>
      <c r="H4" s="464">
        <f>SUMIF(P.25!Z27,"&gt;1",(P.25!Z27))</f>
        <v>100</v>
      </c>
      <c r="I4" s="1">
        <f>SUMIF(P.25!AA27,"&gt;1",(P.25!AA27))</f>
        <v>76.923076923076934</v>
      </c>
      <c r="J4" s="2">
        <v>1801</v>
      </c>
      <c r="K4" s="12">
        <f>RANK(H4,$H$4:$H$25,1)+COUNTIF($H$4:H4,H4)-1</f>
        <v>18</v>
      </c>
      <c r="L4" s="2" t="str">
        <f>INDEX(B4:I25,MATCH(1,K4:K25,0),1)</f>
        <v>Leżajsk</v>
      </c>
      <c r="M4" s="1">
        <f>INDEX(B4:I25,MATCH(1,K4:K25,0),7)</f>
        <v>78.94736842105263</v>
      </c>
    </row>
    <row r="5" spans="1:13" x14ac:dyDescent="0.25">
      <c r="A5" s="9">
        <v>2</v>
      </c>
      <c r="B5" s="2" t="s">
        <v>70</v>
      </c>
      <c r="C5" s="1">
        <f>SUM(P.25!U28)</f>
        <v>88.135593220338976</v>
      </c>
      <c r="D5" s="1">
        <f>SUM(P.25!V28)</f>
        <v>94.444444444444443</v>
      </c>
      <c r="E5" s="1">
        <f>SUM(P.25!W28)</f>
        <v>98.550724637681171</v>
      </c>
      <c r="F5" s="1">
        <f>SUMIF(P.25!X28,"&gt;1",(P.25!X28))</f>
        <v>100</v>
      </c>
      <c r="G5" s="1">
        <f>SUM(P.25!Y28)</f>
        <v>99.242424242424249</v>
      </c>
      <c r="H5" s="464">
        <f>SUM(P.25!Z28)</f>
        <v>97.916666666666657</v>
      </c>
      <c r="I5" s="1">
        <f>SUM(P.25!AA28)</f>
        <v>89.830508474576277</v>
      </c>
      <c r="J5" s="2">
        <v>1802</v>
      </c>
      <c r="K5" s="12">
        <f>RANK(H5,$H$4:$H$25,1)+COUNTIF($H$4:H5,H5)-1</f>
        <v>15</v>
      </c>
      <c r="L5" s="11" t="str">
        <f>INDEX(B4:I25,MATCH(2,K4:K25,0),1)</f>
        <v>Ropczyce</v>
      </c>
      <c r="M5" s="1">
        <f>INDEX(B4:I25,MATCH(2,K4:K25,0),7)</f>
        <v>79.381443298969074</v>
      </c>
    </row>
    <row r="6" spans="1:13" x14ac:dyDescent="0.25">
      <c r="A6" s="9">
        <v>3</v>
      </c>
      <c r="B6" s="2" t="s">
        <v>71</v>
      </c>
      <c r="C6" s="1">
        <f>SUM(P.25!U29)</f>
        <v>67.5</v>
      </c>
      <c r="D6" s="1">
        <f>SUM(P.25!V29)</f>
        <v>66.666666666666657</v>
      </c>
      <c r="E6" s="1">
        <f>SUM(P.25!W29)</f>
        <v>97.354497354497354</v>
      </c>
      <c r="F6" s="1">
        <f>SUMIF(P.25!X29,"&gt;1",(P.25!X29))</f>
        <v>100</v>
      </c>
      <c r="G6" s="1">
        <f>SUM(P.25!Y29)</f>
        <v>100</v>
      </c>
      <c r="H6" s="464">
        <f>SUM(P.25!Z29)</f>
        <v>100</v>
      </c>
      <c r="I6" s="1">
        <f>SUM(P.25!AA29)</f>
        <v>93.548387096774192</v>
      </c>
      <c r="J6" s="2">
        <v>1803</v>
      </c>
      <c r="K6" s="12">
        <f>RANK(H6,$H$4:$H$25,1)+COUNTIF($H$4:H6,H6)-1</f>
        <v>19</v>
      </c>
      <c r="L6" s="11" t="str">
        <f>INDEX(B4:I25,MATCH(3,K4:K25,0),1)</f>
        <v>Krosno</v>
      </c>
      <c r="M6" s="1">
        <f>INDEX(B4:I25,MATCH(3,K4:K25,0),7)</f>
        <v>83.15789473684211</v>
      </c>
    </row>
    <row r="7" spans="1:13" x14ac:dyDescent="0.25">
      <c r="A7" s="9">
        <v>4</v>
      </c>
      <c r="B7" s="2" t="s">
        <v>72</v>
      </c>
      <c r="C7" s="1">
        <f>SUM(P.25!U30)</f>
        <v>88.549618320610691</v>
      </c>
      <c r="D7" s="1">
        <f>SUM(P.25!V30)</f>
        <v>72.727272727272734</v>
      </c>
      <c r="E7" s="1">
        <f>SUM(P.25!W30)</f>
        <v>98.425196850393704</v>
      </c>
      <c r="F7" s="1">
        <f>SUMIF(P.25!X30,"&gt;1",(P.25!X30))</f>
        <v>98.290598290598282</v>
      </c>
      <c r="G7" s="1">
        <f>SUM(P.25!Y30)</f>
        <v>100</v>
      </c>
      <c r="H7" s="464">
        <f>SUM(P.25!Z30)</f>
        <v>99.193548387096769</v>
      </c>
      <c r="I7" s="1">
        <f>SUM(P.25!AA30)</f>
        <v>80.645161290322577</v>
      </c>
      <c r="J7" s="2">
        <v>1804</v>
      </c>
      <c r="K7" s="12">
        <f>RANK(H7,$H$4:$H$25,1)+COUNTIF($H$4:H7,H7)-1</f>
        <v>17</v>
      </c>
      <c r="L7" s="11" t="str">
        <f>INDEX(B4:I25,MATCH(4,K4:K25,0),1)</f>
        <v>Przeworsk</v>
      </c>
      <c r="M7" s="1">
        <f>INDEX(B4:I25,MATCH(4,K4:K25,0),7)</f>
        <v>85.365853658536579</v>
      </c>
    </row>
    <row r="8" spans="1:13" x14ac:dyDescent="0.25">
      <c r="A8" s="9">
        <v>5</v>
      </c>
      <c r="B8" s="2" t="s">
        <v>73</v>
      </c>
      <c r="C8" s="1">
        <f>SUM(P.25!U31)</f>
        <v>87.793427230046944</v>
      </c>
      <c r="D8" s="1">
        <f>SUM(P.25!V31)</f>
        <v>40.54054054054054</v>
      </c>
      <c r="E8" s="1">
        <f>SUM(P.25!W31)</f>
        <v>92.592592592592595</v>
      </c>
      <c r="F8" s="1">
        <f>SUMIF(P.25!X31,"&gt;1",(P.25!X31))</f>
        <v>95.3125</v>
      </c>
      <c r="G8" s="1">
        <f>SUM(P.25!Y31)</f>
        <v>97.247706422018354</v>
      </c>
      <c r="H8" s="464">
        <f>SUM(P.25!Z31)</f>
        <v>86.021505376344081</v>
      </c>
      <c r="I8" s="1">
        <f>SUM(P.25!AA31)</f>
        <v>84.090909090909093</v>
      </c>
      <c r="J8" s="2">
        <v>1805</v>
      </c>
      <c r="K8" s="12">
        <f>RANK(H8,$H$4:$H$25,1)+COUNTIF($H$4:H8,H8)-1</f>
        <v>7</v>
      </c>
      <c r="L8" s="11" t="str">
        <f>INDEX(B4:I25,MATCH(5,K4:K25,0),1)</f>
        <v>Łańcut</v>
      </c>
      <c r="M8" s="1">
        <f>INDEX(B4:I25,MATCH(5,K4:K25,0),7)</f>
        <v>85.507246376811594</v>
      </c>
    </row>
    <row r="9" spans="1:13" x14ac:dyDescent="0.25">
      <c r="A9" s="9">
        <v>6</v>
      </c>
      <c r="B9" s="2" t="s">
        <v>74</v>
      </c>
      <c r="C9" s="1">
        <f>SUM(P.25!U32)</f>
        <v>87.387387387387378</v>
      </c>
      <c r="D9" s="1">
        <f>SUM(P.25!V32)</f>
        <v>40</v>
      </c>
      <c r="E9" s="1">
        <f>SUM(P.25!W32)</f>
        <v>96.774193548387103</v>
      </c>
      <c r="F9" s="1">
        <f>SUMIF(P.25!X32,"&gt;1",(P.25!X32))</f>
        <v>94.117647058823522</v>
      </c>
      <c r="G9" s="1">
        <f>SUM(P.25!Y32)</f>
        <v>100</v>
      </c>
      <c r="H9" s="464">
        <f>SUM(P.25!Z32)</f>
        <v>98.591549295774655</v>
      </c>
      <c r="I9" s="562">
        <f>SUMIF(P.25!AA32,"&gt;1",(P.25!AA32))</f>
        <v>0</v>
      </c>
      <c r="J9" s="2">
        <v>1806</v>
      </c>
      <c r="K9" s="12">
        <f>RANK(H9,$H$4:$H$25,1)+COUNTIF($H$4:H9,H9)-1</f>
        <v>16</v>
      </c>
      <c r="L9" s="11" t="str">
        <f>INDEX(B4:I25,MATCH(6,K4:K25,0),1)</f>
        <v>Mielec</v>
      </c>
      <c r="M9" s="1">
        <f>INDEX(B4:I25,MATCH(6,K4:K25,0),7)</f>
        <v>85.714285714285708</v>
      </c>
    </row>
    <row r="10" spans="1:13" x14ac:dyDescent="0.25">
      <c r="A10" s="467">
        <v>7</v>
      </c>
      <c r="B10" s="468" t="s">
        <v>75</v>
      </c>
      <c r="C10" s="95">
        <f>SUM(P.25!U33)</f>
        <v>86.666666666666671</v>
      </c>
      <c r="D10" s="95">
        <f>SUM(P.25!V33)</f>
        <v>43.75</v>
      </c>
      <c r="E10" s="95">
        <f>SUM(P.25!W33)</f>
        <v>100</v>
      </c>
      <c r="F10" s="95">
        <f>SUMIF(P.25!X33,"&gt;1",(P.25!X33))</f>
        <v>100</v>
      </c>
      <c r="G10" s="95">
        <f>SUM(P.25!Y33)</f>
        <v>100</v>
      </c>
      <c r="H10" s="465">
        <f>SUM(P.25!Z33)</f>
        <v>83.15789473684211</v>
      </c>
      <c r="I10" s="95">
        <f>SUM(P.25!AA33)</f>
        <v>97.058823529411768</v>
      </c>
      <c r="J10" s="468" t="s">
        <v>134</v>
      </c>
      <c r="K10" s="12">
        <f>RANK(H10,$H$4:$H$25,1)+COUNTIF($H$4:H10,H10)-1</f>
        <v>3</v>
      </c>
      <c r="L10" s="11" t="str">
        <f>INDEX(B4:I25,MATCH(7,K4:K25,0),1)</f>
        <v>Jasło</v>
      </c>
      <c r="M10" s="1">
        <f>INDEX(B4:I25,MATCH(7,K4:K25,0),7)</f>
        <v>86.021505376344081</v>
      </c>
    </row>
    <row r="11" spans="1:13" x14ac:dyDescent="0.25">
      <c r="A11" s="9">
        <v>8</v>
      </c>
      <c r="B11" s="2" t="s">
        <v>76</v>
      </c>
      <c r="C11" s="1">
        <f>SUM(P.25!U35)</f>
        <v>85.318559556786695</v>
      </c>
      <c r="D11" s="1">
        <f>SUM(P.25!V35)</f>
        <v>18.604651162790699</v>
      </c>
      <c r="E11" s="1">
        <f>SUM(P.25!W35)</f>
        <v>95.945945945945937</v>
      </c>
      <c r="F11" s="1">
        <f>SUMIF(P.25!X35,"&gt;1",(P.25!X35))</f>
        <v>97.163120567375884</v>
      </c>
      <c r="G11" s="1">
        <f>SUM(P.25!Y35)</f>
        <v>89.393939393939391</v>
      </c>
      <c r="H11" s="464">
        <f>SUM(P.25!Z35)</f>
        <v>78.94736842105263</v>
      </c>
      <c r="I11" s="1">
        <f>SUM(P.25!AA35)</f>
        <v>87.5</v>
      </c>
      <c r="J11" s="2">
        <v>1808</v>
      </c>
      <c r="K11" s="12">
        <f>RANK(H11,$H$4:$H$25,1)+COUNTIF($H$4:H11,H11)-1</f>
        <v>1</v>
      </c>
      <c r="L11" s="11" t="str">
        <f>INDEX(B4:I25,MATCH(8,K4:K25,0),1)</f>
        <v>Nisko</v>
      </c>
      <c r="M11" s="1">
        <f>INDEX(B4:I25,MATCH(8,K4:K25,0),7)</f>
        <v>88.888888888888886</v>
      </c>
    </row>
    <row r="12" spans="1:13" x14ac:dyDescent="0.25">
      <c r="A12" s="9">
        <v>9</v>
      </c>
      <c r="B12" s="2" t="s">
        <v>77</v>
      </c>
      <c r="C12" s="1">
        <f>SUM(P.25!U36)</f>
        <v>85.507246376811594</v>
      </c>
      <c r="D12" s="1">
        <f>SUM(P.25!V36)</f>
        <v>100</v>
      </c>
      <c r="E12" s="1">
        <f>SUM(P.25!W36)</f>
        <v>98.666666666666671</v>
      </c>
      <c r="F12" s="1">
        <f>SUMIF(P.25!X36,"&gt;1",(P.25!X36))</f>
        <v>100</v>
      </c>
      <c r="G12" s="1">
        <f>SUM(P.25!Y36)</f>
        <v>100</v>
      </c>
      <c r="H12" s="464">
        <f>SUMIF(P.25!Z36,"&gt;1",(P.25!Z36))</f>
        <v>100</v>
      </c>
      <c r="I12" s="1">
        <f>SUM(P.25!AA36)</f>
        <v>90.277777777777786</v>
      </c>
      <c r="J12" s="2">
        <v>1809</v>
      </c>
      <c r="K12" s="12">
        <f>RANK(H12,$H$4:$H$25,1)+COUNTIF($H$4:H12,H12)-1</f>
        <v>20</v>
      </c>
      <c r="L12" s="11" t="str">
        <f>INDEX(B4:I25,MATCH(9,K4:K25,0),1)</f>
        <v>Rzeszów</v>
      </c>
      <c r="M12" s="1">
        <f>INDEX(B4:I25,MATCH(9,K4:K25,0),7)</f>
        <v>89.029535864978897</v>
      </c>
    </row>
    <row r="13" spans="1:13" x14ac:dyDescent="0.25">
      <c r="A13" s="9">
        <v>10</v>
      </c>
      <c r="B13" s="2" t="s">
        <v>78</v>
      </c>
      <c r="C13" s="1">
        <f>SUM(P.25!U37)</f>
        <v>75.352112676056336</v>
      </c>
      <c r="D13" s="1">
        <f>SUM(P.25!V37)</f>
        <v>52.459016393442624</v>
      </c>
      <c r="E13" s="1">
        <f>SUM(P.25!W37)</f>
        <v>99.173553719008268</v>
      </c>
      <c r="F13" s="1">
        <f>SUMIF(P.25!X37,"&gt;1",(P.25!X37))</f>
        <v>100</v>
      </c>
      <c r="G13" s="1">
        <f>SUM(P.25!Y37)</f>
        <v>93.243243243243242</v>
      </c>
      <c r="H13" s="464">
        <f>SUM(P.25!Z37)</f>
        <v>85.507246376811594</v>
      </c>
      <c r="I13" s="1">
        <f>SUM(P.25!AA37)</f>
        <v>95.833333333333343</v>
      </c>
      <c r="J13" s="2">
        <v>1810</v>
      </c>
      <c r="K13" s="12">
        <f>RANK(H13,$H$4:$H$25,1)+COUNTIF($H$4:H13,H13)-1</f>
        <v>5</v>
      </c>
      <c r="L13" s="300" t="str">
        <f>INDEX(B4:I25,MATCH(10,K4:K25,0),1)</f>
        <v>Podkarpacie</v>
      </c>
      <c r="M13" s="296">
        <f>INDEX(B4:I25,MATCH(10,K4:K25,0),7)</f>
        <v>89.86486486486487</v>
      </c>
    </row>
    <row r="14" spans="1:13" x14ac:dyDescent="0.25">
      <c r="A14" s="9">
        <v>11</v>
      </c>
      <c r="B14" s="2" t="s">
        <v>79</v>
      </c>
      <c r="C14" s="1">
        <f>SUM(P.25!U38)</f>
        <v>78.542510121457482</v>
      </c>
      <c r="D14" s="1">
        <f>SUM(P.25!V38)</f>
        <v>57.142857142857139</v>
      </c>
      <c r="E14" s="1">
        <f>SUM(P.25!W38)</f>
        <v>80.314960629921259</v>
      </c>
      <c r="F14" s="1">
        <f>SUMIF(P.25!X38,"&gt;1",(P.25!X38))</f>
        <v>100</v>
      </c>
      <c r="G14" s="1">
        <f>SUM(P.25!Y38)</f>
        <v>100</v>
      </c>
      <c r="H14" s="464">
        <f>SUM(P.25!Z38)</f>
        <v>85.714285714285708</v>
      </c>
      <c r="I14" s="1">
        <f>SUM(P.25!AA38)</f>
        <v>100</v>
      </c>
      <c r="J14" s="2">
        <v>1811</v>
      </c>
      <c r="K14" s="12">
        <f>RANK(H14,$H$4:$H$25,1)+COUNTIF($H$4:H14,H14)-1</f>
        <v>6</v>
      </c>
      <c r="L14" s="57" t="str">
        <f>INDEX(B4:I25,MATCH(11,K4:K25,0),1)</f>
        <v>Stalowa Wola</v>
      </c>
      <c r="M14" s="15">
        <f>INDEX(B4:I25,MATCH(11,K4:K25,0),7)</f>
        <v>91.83673469387756</v>
      </c>
    </row>
    <row r="15" spans="1:13" x14ac:dyDescent="0.25">
      <c r="A15" s="9">
        <v>12</v>
      </c>
      <c r="B15" s="2" t="s">
        <v>80</v>
      </c>
      <c r="C15" s="1">
        <f>SUM(P.25!U39)</f>
        <v>67.164179104477611</v>
      </c>
      <c r="D15" s="1">
        <f>SUM(P.25!V39)</f>
        <v>40</v>
      </c>
      <c r="E15" s="1">
        <f>SUM(P.25!W39)</f>
        <v>87.937743190661479</v>
      </c>
      <c r="F15" s="1">
        <f>SUMIF(P.25!X39,"&gt;1",(P.25!X39))</f>
        <v>69.230769230769226</v>
      </c>
      <c r="G15" s="1">
        <f>SUM(P.25!Y39)</f>
        <v>100</v>
      </c>
      <c r="H15" s="464">
        <f>SUM(P.25!Z39)</f>
        <v>88.888888888888886</v>
      </c>
      <c r="I15" s="1">
        <f>SUM(P.25!AA39)</f>
        <v>91.666666666666657</v>
      </c>
      <c r="J15" s="2">
        <v>1812</v>
      </c>
      <c r="K15" s="12">
        <f>RANK(H15,$H$4:$H$25,1)+COUNTIF($H$4:H15,H15)-1</f>
        <v>8</v>
      </c>
      <c r="L15" s="11" t="str">
        <f>INDEX(B4:I25,MATCH(12,K4:K25,0),1)</f>
        <v>Przemyśl</v>
      </c>
      <c r="M15" s="1">
        <f>INDEX(B4:I25,MATCH(12,K4:K25,0),7)</f>
        <v>92.134831460674164</v>
      </c>
    </row>
    <row r="16" spans="1:13" x14ac:dyDescent="0.25">
      <c r="A16" s="9">
        <v>13</v>
      </c>
      <c r="B16" s="2" t="s">
        <v>81</v>
      </c>
      <c r="C16" s="1">
        <f>SUM(P.25!U40)</f>
        <v>77.5</v>
      </c>
      <c r="D16" s="1">
        <f>SUM(P.25!V40)</f>
        <v>90.243902439024396</v>
      </c>
      <c r="E16" s="1">
        <f>SUM(P.25!W40)</f>
        <v>83.769633507853399</v>
      </c>
      <c r="F16" s="1">
        <f>SUMIF(P.25!X40,"&gt;1",(P.25!X40))</f>
        <v>81.818181818181827</v>
      </c>
      <c r="G16" s="1">
        <f>SUM(P.25!Y40)</f>
        <v>93.442622950819683</v>
      </c>
      <c r="H16" s="464">
        <f>SUM(P.25!Z40)</f>
        <v>85.365853658536579</v>
      </c>
      <c r="I16" s="1">
        <f>SUM(P.25!AA40)</f>
        <v>88.888888888888886</v>
      </c>
      <c r="J16" s="2">
        <v>1814</v>
      </c>
      <c r="K16" s="13">
        <f>RANK(H16,$H$4:$H$25,1)+COUNTIF($H$4:H16,H16)-1</f>
        <v>4</v>
      </c>
      <c r="L16" s="14" t="str">
        <f>INDEX(B4:I25,MATCH(13,K4:K25,0),1)</f>
        <v>Sanok</v>
      </c>
      <c r="M16" s="1">
        <f>INDEX(B4:I25,MATCH(13,K4:K25,0),7)</f>
        <v>92.20779220779221</v>
      </c>
    </row>
    <row r="17" spans="1:13" x14ac:dyDescent="0.25">
      <c r="A17" s="9">
        <v>14</v>
      </c>
      <c r="B17" s="2" t="s">
        <v>82</v>
      </c>
      <c r="C17" s="1">
        <f>SUM(P.25!U41)</f>
        <v>79.816513761467888</v>
      </c>
      <c r="D17" s="1">
        <f>SUM(P.25!V41)</f>
        <v>79.166666666666657</v>
      </c>
      <c r="E17" s="1">
        <f>SUM(P.25!W41)</f>
        <v>80.188679245283026</v>
      </c>
      <c r="F17" s="1">
        <f>SUMIF(P.25!X41,"&gt;1",(P.25!X41))</f>
        <v>94.339622641509436</v>
      </c>
      <c r="G17" s="1">
        <f>SUM(P.25!Y41)</f>
        <v>96.969696969696969</v>
      </c>
      <c r="H17" s="464">
        <f>SUM(P.25!Z41)</f>
        <v>79.381443298969074</v>
      </c>
      <c r="I17" s="1">
        <f>SUM(P.25!AA41)</f>
        <v>92.307692307692307</v>
      </c>
      <c r="J17" s="2">
        <v>1815</v>
      </c>
      <c r="K17" s="13">
        <f>RANK(H17,$H$4:$H$25,1)+COUNTIF($H$4:H17,H17)-1</f>
        <v>2</v>
      </c>
      <c r="L17" s="14" t="str">
        <f>INDEX(B4:I25,MATCH(14,K4:K25,0),1)</f>
        <v>Strzyżów</v>
      </c>
      <c r="M17" s="1">
        <f>INDEX(B4:I25,MATCH(14,K4:K25,0),7)</f>
        <v>94.666666666666671</v>
      </c>
    </row>
    <row r="18" spans="1:13" x14ac:dyDescent="0.25">
      <c r="A18" s="467">
        <v>15</v>
      </c>
      <c r="B18" s="468" t="s">
        <v>83</v>
      </c>
      <c r="C18" s="95">
        <f>SUM(P.25!U43)</f>
        <v>79.514824797843659</v>
      </c>
      <c r="D18" s="95">
        <f>SUM(P.25!V43)</f>
        <v>47.10144927536232</v>
      </c>
      <c r="E18" s="95">
        <f>SUM(P.25!W43)</f>
        <v>91.095890410958901</v>
      </c>
      <c r="F18" s="95">
        <f>SUMIF(P.25!X43,"&gt;1",(P.25!X43))</f>
        <v>99.038461538461547</v>
      </c>
      <c r="G18" s="95">
        <f>SUM(P.25!Y43)</f>
        <v>98.498498498498492</v>
      </c>
      <c r="H18" s="465">
        <f>SUM(P.25!Z43)</f>
        <v>89.029535864978897</v>
      </c>
      <c r="I18" s="95">
        <f>SUM(P.25!AA43)</f>
        <v>95.945945945945937</v>
      </c>
      <c r="J18" s="468" t="s">
        <v>136</v>
      </c>
      <c r="K18" s="12">
        <f>RANK(H18,$H$4:$H$25,1)+COUNTIF($H$4:H18,H18)-1</f>
        <v>9</v>
      </c>
      <c r="L18" s="2" t="str">
        <f>INDEX(B4:I25,MATCH(15,K4:K25,0),1)</f>
        <v>Brzozów</v>
      </c>
      <c r="M18" s="1">
        <f>INDEX(B4:I25,MATCH(15,K4:K25,0),7)</f>
        <v>97.916666666666657</v>
      </c>
    </row>
    <row r="19" spans="1:13" x14ac:dyDescent="0.25">
      <c r="A19" s="9">
        <v>16</v>
      </c>
      <c r="B19" s="2" t="s">
        <v>84</v>
      </c>
      <c r="C19" s="1">
        <f>SUM(P.25!U44)</f>
        <v>79.646017699115049</v>
      </c>
      <c r="D19" s="1">
        <f>SUM(P.25!V44)</f>
        <v>61.855670103092784</v>
      </c>
      <c r="E19" s="1">
        <f>SUM(P.25!W44)</f>
        <v>93.421052631578945</v>
      </c>
      <c r="F19" s="1">
        <f>SUMIF(P.25!X44,"&gt;1",(P.25!X44))</f>
        <v>88.888888888888886</v>
      </c>
      <c r="G19" s="1">
        <f>SUM(P.25!Y44)</f>
        <v>97.27272727272728</v>
      </c>
      <c r="H19" s="464">
        <f>SUM(P.25!Z44)</f>
        <v>92.20779220779221</v>
      </c>
      <c r="I19" s="1">
        <f>SUM(P.25!AA44)</f>
        <v>94.444444444444443</v>
      </c>
      <c r="J19" s="2">
        <v>1817</v>
      </c>
      <c r="K19" s="12">
        <f>RANK(H19,$H$4:$H$25,1)+COUNTIF($H$4:H19,H19)-1</f>
        <v>13</v>
      </c>
      <c r="L19" s="2" t="str">
        <f>INDEX(B4:I25,MATCH(16,K4:K25,0),1)</f>
        <v>Kolbuszowa</v>
      </c>
      <c r="M19" s="1">
        <f>INDEX(B4:I25,MATCH(16,K4:K25,0),7)</f>
        <v>98.591549295774655</v>
      </c>
    </row>
    <row r="20" spans="1:13" x14ac:dyDescent="0.25">
      <c r="A20" s="9">
        <v>17</v>
      </c>
      <c r="B20" s="2" t="s">
        <v>85</v>
      </c>
      <c r="C20" s="1">
        <f>SUM(P.25!U45)</f>
        <v>85.051546391752581</v>
      </c>
      <c r="D20" s="1">
        <f>SUM(P.25!V45)</f>
        <v>56.756756756756758</v>
      </c>
      <c r="E20" s="1">
        <f>SUM(P.25!W45)</f>
        <v>100</v>
      </c>
      <c r="F20" s="1">
        <f>SUMIF(P.25!X45,"&gt;1",(P.25!X45))</f>
        <v>100</v>
      </c>
      <c r="G20" s="1">
        <f>SUM(P.25!Y45)</f>
        <v>96.721311475409834</v>
      </c>
      <c r="H20" s="464">
        <f>SUM(P.25!Z45)</f>
        <v>91.83673469387756</v>
      </c>
      <c r="I20" s="1">
        <f>SUM(P.25!AA45)</f>
        <v>87.096774193548384</v>
      </c>
      <c r="J20" s="2">
        <v>1818</v>
      </c>
      <c r="K20" s="12">
        <f>RANK(H20,$H$4:$H$25,1)+COUNTIF($H$4:H20,H20)-1</f>
        <v>11</v>
      </c>
      <c r="L20" s="2" t="str">
        <f>INDEX(B4:I25,MATCH(17,K4:K25,0),1)</f>
        <v>Jarosław</v>
      </c>
      <c r="M20" s="1">
        <f>INDEX(B4:I25,MATCH(17,K4:K25,0),7)</f>
        <v>99.193548387096769</v>
      </c>
    </row>
    <row r="21" spans="1:13" x14ac:dyDescent="0.25">
      <c r="A21" s="9">
        <v>18</v>
      </c>
      <c r="B21" s="2" t="s">
        <v>86</v>
      </c>
      <c r="C21" s="1">
        <f>SUM(P.25!U46)</f>
        <v>84.859154929577457</v>
      </c>
      <c r="D21" s="1">
        <f>SUM(P.25!V46)</f>
        <v>63.768115942028977</v>
      </c>
      <c r="E21" s="1">
        <f>SUM(P.25!W46)</f>
        <v>100</v>
      </c>
      <c r="F21" s="1">
        <f>SUMIF(P.25!X46,"&gt;1",(P.25!X46))</f>
        <v>98.290598290598282</v>
      </c>
      <c r="G21" s="1">
        <f>SUM(P.25!Y46)</f>
        <v>100</v>
      </c>
      <c r="H21" s="464">
        <f>SUM(P.25!Z46)</f>
        <v>94.666666666666671</v>
      </c>
      <c r="I21" s="1">
        <f>SUM(P.25!AA46)</f>
        <v>88.888888888888886</v>
      </c>
      <c r="J21" s="2">
        <v>1819</v>
      </c>
      <c r="K21" s="12">
        <f>RANK(H21,$H$4:$H$25,1)+COUNTIF($H$4:H21,H21)-1</f>
        <v>14</v>
      </c>
      <c r="L21" s="2" t="str">
        <f>INDEX(B4:I25,MATCH(18,K4:K25,0),1)</f>
        <v>Ustrzyki Dolne</v>
      </c>
      <c r="M21" s="1">
        <f>INDEX(B4:I25,MATCH(18,K4:K25,0),7)</f>
        <v>100</v>
      </c>
    </row>
    <row r="22" spans="1:13" x14ac:dyDescent="0.25">
      <c r="A22" s="467">
        <v>19</v>
      </c>
      <c r="B22" s="468" t="s">
        <v>87</v>
      </c>
      <c r="C22" s="95">
        <f>SUM(P.25!U47)</f>
        <v>84.491978609625676</v>
      </c>
      <c r="D22" s="95">
        <f>SUM(P.25!V47)</f>
        <v>44.444444444444443</v>
      </c>
      <c r="E22" s="95">
        <f>SUM(P.25!W47)</f>
        <v>97.849462365591393</v>
      </c>
      <c r="F22" s="95">
        <f>SUMIF(P.25!X47,"&gt;1",(P.25!X47))</f>
        <v>99.371069182389931</v>
      </c>
      <c r="G22" s="95">
        <f>SUM(P.25!Y47)</f>
        <v>97.560975609756099</v>
      </c>
      <c r="H22" s="465">
        <f>SUM(P.25!Z47)</f>
        <v>100</v>
      </c>
      <c r="I22" s="95">
        <f>SUM(P.25!AA47)</f>
        <v>100</v>
      </c>
      <c r="J22" s="468" t="s">
        <v>137</v>
      </c>
      <c r="K22" s="12">
        <f>RANK(H22,$H$4:$H$25,1)+COUNTIF($H$4:H22,H22)-1</f>
        <v>21</v>
      </c>
      <c r="L22" s="2" t="str">
        <f>INDEX(B4:I25,MATCH(19,K4:K25,0),1)</f>
        <v>Dębica</v>
      </c>
      <c r="M22" s="1">
        <f>INDEX(B4:I25,MATCH(19,K4:K25,0),7)</f>
        <v>100</v>
      </c>
    </row>
    <row r="23" spans="1:13" x14ac:dyDescent="0.25">
      <c r="A23" s="9">
        <v>20</v>
      </c>
      <c r="B23" s="2" t="s">
        <v>88</v>
      </c>
      <c r="C23" s="1">
        <f>SUM(P.25!U48)</f>
        <v>88.461538461538453</v>
      </c>
      <c r="D23" s="1">
        <f>SUM(P.25!V48)</f>
        <v>61.53846153846154</v>
      </c>
      <c r="E23" s="1">
        <f>SUM(P.25!W48)</f>
        <v>89.743589743589752</v>
      </c>
      <c r="F23" s="1">
        <f>SUMIF(P.25!X48,"&gt;1",(P.25!X48))</f>
        <v>96.969696969696969</v>
      </c>
      <c r="G23" s="1">
        <f>SUM(P.25!Y48)</f>
        <v>92.1875</v>
      </c>
      <c r="H23" s="464">
        <f>SUM(P.25!Z48)</f>
        <v>100</v>
      </c>
      <c r="I23" s="1">
        <f>SUM(P.25!AA48)</f>
        <v>77.272727272727266</v>
      </c>
      <c r="J23" s="2">
        <v>1821</v>
      </c>
      <c r="K23" s="12">
        <f>RANK(H23,$H$4:$H$25,1)+COUNTIF($H$4:H23,H23)-1</f>
        <v>22</v>
      </c>
      <c r="L23" s="2" t="str">
        <f>INDEX(B4:I25,MATCH(20,K4:K25,0),1)</f>
        <v>Lubaczów</v>
      </c>
      <c r="M23" s="1">
        <f>INDEX(B4:I25,MATCH(20,K4:K25,0),7)</f>
        <v>100</v>
      </c>
    </row>
    <row r="24" spans="1:13" x14ac:dyDescent="0.25">
      <c r="A24" s="467">
        <v>21</v>
      </c>
      <c r="B24" s="468" t="s">
        <v>91</v>
      </c>
      <c r="C24" s="95">
        <f>SUM(P.25!U49)</f>
        <v>89.629629629629619</v>
      </c>
      <c r="D24" s="95">
        <f>SUM(P.25!V49)</f>
        <v>65.517241379310349</v>
      </c>
      <c r="E24" s="95">
        <f>SUM(P.25!W49)</f>
        <v>98.888888888888886</v>
      </c>
      <c r="F24" s="95">
        <f>SUMIF(P.25!X49,"&gt;1",(P.25!X49))</f>
        <v>94.444444444444443</v>
      </c>
      <c r="G24" s="95">
        <f>SUM(P.25!Y49)</f>
        <v>94.078947368421055</v>
      </c>
      <c r="H24" s="465">
        <f>SUM(P.25!Z49)</f>
        <v>92.134831460674164</v>
      </c>
      <c r="I24" s="95">
        <f>SUM(P.25!AA49)</f>
        <v>56.684491978609628</v>
      </c>
      <c r="J24" s="468" t="s">
        <v>135</v>
      </c>
      <c r="K24" s="12">
        <f>RANK(H24,$H$4:$H$25,1)+COUNTIF($H$4:H24,H24)-1</f>
        <v>12</v>
      </c>
      <c r="L24" s="2" t="str">
        <f>INDEX(B4:I25,MATCH(21,K4:K25,0),1)</f>
        <v>Tarnobrzeg</v>
      </c>
      <c r="M24" s="1">
        <f>INDEX(B4:I25,MATCH(21,K4:K25,0),7)</f>
        <v>100</v>
      </c>
    </row>
    <row r="25" spans="1:13" x14ac:dyDescent="0.25">
      <c r="A25" s="9">
        <v>22</v>
      </c>
      <c r="B25" s="11" t="s">
        <v>94</v>
      </c>
      <c r="C25" s="1">
        <f>SUM(P.25!U50)</f>
        <v>82.448610797379715</v>
      </c>
      <c r="D25" s="1">
        <f>SUM(P.25!V50)</f>
        <v>51.242236024844722</v>
      </c>
      <c r="E25" s="1">
        <f>SUM(P.25!W50)</f>
        <v>93.262653898768804</v>
      </c>
      <c r="F25" s="1">
        <f>SUMIF(P.25!X50,"&gt;1",(P.25!X50))</f>
        <v>96.568977841315231</v>
      </c>
      <c r="G25" s="1">
        <f>SUM(P.25!Y50)</f>
        <v>97.348066298342545</v>
      </c>
      <c r="H25" s="464">
        <f>SUM(P.25!Z50)</f>
        <v>89.86486486486487</v>
      </c>
      <c r="I25" s="1">
        <f>SUM(P.25!AA50)</f>
        <v>82.754759238521842</v>
      </c>
      <c r="J25" s="2">
        <v>1800</v>
      </c>
      <c r="K25" s="12">
        <f>RANK(H25,$H$4:$H$25,1)+COUNTIF($H$4:H25,H25)-1</f>
        <v>10</v>
      </c>
      <c r="L25" s="2" t="str">
        <f>INDEX(B4:I25,MATCH(22,K4:K25,0),1)</f>
        <v>Lesko</v>
      </c>
      <c r="M25" s="1">
        <f>INDEX(B4:I25,MATCH(22,K4:K25,0),7)</f>
        <v>100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</row>
    <row r="28" spans="1:13" x14ac:dyDescent="0.25">
      <c r="A28" s="9">
        <v>2</v>
      </c>
      <c r="B28" s="10" t="s">
        <v>2</v>
      </c>
      <c r="C28" s="8" t="s">
        <v>143</v>
      </c>
      <c r="D28" s="17"/>
      <c r="E28" s="17"/>
      <c r="F28" s="17"/>
      <c r="G28" s="17"/>
      <c r="H28" s="17"/>
      <c r="I28" s="17"/>
      <c r="J28" s="17"/>
      <c r="K28" s="16"/>
      <c r="L28" s="17"/>
    </row>
    <row r="29" spans="1:13" x14ac:dyDescent="0.25">
      <c r="A29" s="9">
        <v>3</v>
      </c>
      <c r="B29" s="10" t="s">
        <v>3</v>
      </c>
      <c r="C29" s="8" t="s">
        <v>143</v>
      </c>
      <c r="D29" s="16"/>
      <c r="E29" s="16"/>
      <c r="F29" s="16"/>
      <c r="G29" s="16"/>
      <c r="H29" s="16"/>
      <c r="I29" s="16"/>
      <c r="J29" s="17"/>
      <c r="K29" s="17"/>
      <c r="L29" s="17"/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463">
        <v>6</v>
      </c>
      <c r="B32" s="466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34D37-0927-4789-967C-416A917A8942}">
  <sheetPr>
    <tabColor theme="0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2" width="13.42578125" style="8" customWidth="1"/>
    <col min="3" max="3" width="8.28515625" style="8" customWidth="1"/>
    <col min="4" max="4" width="9.140625" style="8"/>
    <col min="5" max="5" width="11" style="8" customWidth="1"/>
    <col min="6" max="6" width="10.5703125" style="8" customWidth="1"/>
    <col min="7" max="7" width="10" style="8" customWidth="1"/>
    <col min="8" max="8" width="9.85546875" style="8" customWidth="1"/>
    <col min="9" max="9" width="9.5703125" style="8" customWidth="1"/>
    <col min="10" max="10" width="12.140625" style="5" customWidth="1"/>
    <col min="11" max="11" width="6.7109375" style="5" customWidth="1"/>
    <col min="12" max="12" width="14.42578125" style="5" customWidth="1"/>
    <col min="13" max="13" width="13.140625" style="8" customWidth="1"/>
    <col min="14" max="16384" width="9.140625" style="8"/>
  </cols>
  <sheetData>
    <row r="1" spans="1:13" x14ac:dyDescent="0.25">
      <c r="A1" s="8" t="s">
        <v>133</v>
      </c>
      <c r="B1" s="471">
        <v>2025</v>
      </c>
    </row>
    <row r="2" spans="1:13" x14ac:dyDescent="0.25">
      <c r="A2" s="8" t="s">
        <v>298</v>
      </c>
    </row>
    <row r="3" spans="1:13" x14ac:dyDescent="0.25">
      <c r="A3" s="463">
        <f>SUM(P.!K26)</f>
        <v>0</v>
      </c>
      <c r="B3" s="466" t="s">
        <v>95</v>
      </c>
      <c r="C3" s="463" t="s">
        <v>127</v>
      </c>
      <c r="D3" s="463" t="s">
        <v>126</v>
      </c>
      <c r="E3" s="463" t="s">
        <v>140</v>
      </c>
      <c r="F3" s="463" t="s">
        <v>130</v>
      </c>
      <c r="G3" s="463" t="s">
        <v>141</v>
      </c>
      <c r="H3" s="463" t="s">
        <v>139</v>
      </c>
      <c r="I3" s="463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1">
        <f>SUM(P.25!U27)</f>
        <v>87.628865979381445</v>
      </c>
      <c r="D4" s="1">
        <f>SUM(P.25!V27)</f>
        <v>53.846153846153847</v>
      </c>
      <c r="E4" s="1">
        <f>SUM(P.25!W27)</f>
        <v>96.226415094339629</v>
      </c>
      <c r="F4" s="1">
        <f>SUMIF(P.25!X27,"&gt;1",(P.25!X27))</f>
        <v>100</v>
      </c>
      <c r="G4" s="1">
        <f>SUMIF(P.25!Y27,"&gt;1",(P.25!Y27))</f>
        <v>97.560975609756099</v>
      </c>
      <c r="H4" s="1">
        <f>SUMIF(P.25!Z27,"&gt;1",(P.25!Z27))</f>
        <v>100</v>
      </c>
      <c r="I4" s="464">
        <f>SUMIF(P.25!AA27,"&gt;1",(P.25!AA27))</f>
        <v>76.923076923076934</v>
      </c>
      <c r="J4" s="2">
        <v>1801</v>
      </c>
      <c r="K4" s="12">
        <f>RANK(I4,$I$4:$I$25,1)+COUNTIF($I$4:I4,I4)-1</f>
        <v>3</v>
      </c>
      <c r="L4" s="2" t="str">
        <f>INDEX(B4:I25,MATCH(1,K4:K25,0),1)</f>
        <v>Kolbuszowa</v>
      </c>
      <c r="M4" s="1">
        <f>INDEX(B4:I25,MATCH(1,K4:K25,0),8)</f>
        <v>0</v>
      </c>
    </row>
    <row r="5" spans="1:13" x14ac:dyDescent="0.25">
      <c r="A5" s="9">
        <v>2</v>
      </c>
      <c r="B5" s="2" t="s">
        <v>70</v>
      </c>
      <c r="C5" s="1">
        <f>SUM(P.25!U28)</f>
        <v>88.135593220338976</v>
      </c>
      <c r="D5" s="1">
        <f>SUM(P.25!V28)</f>
        <v>94.444444444444443</v>
      </c>
      <c r="E5" s="1">
        <f>SUM(P.25!W28)</f>
        <v>98.550724637681171</v>
      </c>
      <c r="F5" s="1">
        <f>SUMIF(P.25!X28,"&gt;1",(P.25!X28))</f>
        <v>100</v>
      </c>
      <c r="G5" s="1">
        <f>SUM(P.25!Y28)</f>
        <v>99.242424242424249</v>
      </c>
      <c r="H5" s="1">
        <f>SUM(P.25!Z28)</f>
        <v>97.916666666666657</v>
      </c>
      <c r="I5" s="464">
        <f>SUM(P.25!AA28)</f>
        <v>89.830508474576277</v>
      </c>
      <c r="J5" s="2">
        <v>1802</v>
      </c>
      <c r="K5" s="12">
        <f>RANK(I5,$I$4:$I$25,1)+COUNTIF($I$4:I5,I5)-1</f>
        <v>12</v>
      </c>
      <c r="L5" s="11" t="str">
        <f>INDEX(B4:I25,MATCH(2,K4:K25,0),1)</f>
        <v>Przemyśl</v>
      </c>
      <c r="M5" s="1">
        <f>INDEX(B4:I25,MATCH(2,K4:K25,0),8)</f>
        <v>56.684491978609628</v>
      </c>
    </row>
    <row r="6" spans="1:13" x14ac:dyDescent="0.25">
      <c r="A6" s="9">
        <v>3</v>
      </c>
      <c r="B6" s="2" t="s">
        <v>71</v>
      </c>
      <c r="C6" s="1">
        <f>SUM(P.25!U29)</f>
        <v>67.5</v>
      </c>
      <c r="D6" s="1">
        <f>SUM(P.25!V29)</f>
        <v>66.666666666666657</v>
      </c>
      <c r="E6" s="1">
        <f>SUM(P.25!W29)</f>
        <v>97.354497354497354</v>
      </c>
      <c r="F6" s="1">
        <f>SUMIF(P.25!X29,"&gt;1",(P.25!X29))</f>
        <v>100</v>
      </c>
      <c r="G6" s="1">
        <f>SUM(P.25!Y29)</f>
        <v>100</v>
      </c>
      <c r="H6" s="1">
        <f>SUM(P.25!Z29)</f>
        <v>100</v>
      </c>
      <c r="I6" s="464">
        <f>SUM(P.25!AA29)</f>
        <v>93.548387096774192</v>
      </c>
      <c r="J6" s="2">
        <v>1803</v>
      </c>
      <c r="K6" s="12">
        <f>RANK(I6,$I$4:$I$25,1)+COUNTIF($I$4:I6,I6)-1</f>
        <v>16</v>
      </c>
      <c r="L6" s="11" t="str">
        <f>INDEX(B4:I25,MATCH(3,K4:K25,0),1)</f>
        <v>Ustrzyki Dolne</v>
      </c>
      <c r="M6" s="1">
        <f>INDEX(B4:I25,MATCH(3,K4:K25,0),8)</f>
        <v>76.923076923076934</v>
      </c>
    </row>
    <row r="7" spans="1:13" x14ac:dyDescent="0.25">
      <c r="A7" s="9">
        <v>4</v>
      </c>
      <c r="B7" s="2" t="s">
        <v>72</v>
      </c>
      <c r="C7" s="1">
        <f>SUM(P.25!U30)</f>
        <v>88.549618320610691</v>
      </c>
      <c r="D7" s="1">
        <f>SUM(P.25!V30)</f>
        <v>72.727272727272734</v>
      </c>
      <c r="E7" s="1">
        <f>SUM(P.25!W30)</f>
        <v>98.425196850393704</v>
      </c>
      <c r="F7" s="1">
        <f>SUMIF(P.25!X30,"&gt;1",(P.25!X30))</f>
        <v>98.290598290598282</v>
      </c>
      <c r="G7" s="1">
        <f>SUM(P.25!Y30)</f>
        <v>100</v>
      </c>
      <c r="H7" s="1">
        <f>SUM(P.25!Z30)</f>
        <v>99.193548387096769</v>
      </c>
      <c r="I7" s="464">
        <f>SUM(P.25!AA30)</f>
        <v>80.645161290322577</v>
      </c>
      <c r="J7" s="2">
        <v>1804</v>
      </c>
      <c r="K7" s="12">
        <f>RANK(I7,$I$4:$I$25,1)+COUNTIF($I$4:I7,I7)-1</f>
        <v>5</v>
      </c>
      <c r="L7" s="11" t="str">
        <f>INDEX(B4:I25,MATCH(4,K4:K25,0),1)</f>
        <v>Lesko</v>
      </c>
      <c r="M7" s="1">
        <f>INDEX(B4:I25,MATCH(4,K4:K25,0),8)</f>
        <v>77.272727272727266</v>
      </c>
    </row>
    <row r="8" spans="1:13" x14ac:dyDescent="0.25">
      <c r="A8" s="9">
        <v>5</v>
      </c>
      <c r="B8" s="2" t="s">
        <v>73</v>
      </c>
      <c r="C8" s="1">
        <f>SUM(P.25!U31)</f>
        <v>87.793427230046944</v>
      </c>
      <c r="D8" s="1">
        <f>SUM(P.25!V31)</f>
        <v>40.54054054054054</v>
      </c>
      <c r="E8" s="1">
        <f>SUM(P.25!W31)</f>
        <v>92.592592592592595</v>
      </c>
      <c r="F8" s="1">
        <f>SUMIF(P.25!X31,"&gt;1",(P.25!X31))</f>
        <v>95.3125</v>
      </c>
      <c r="G8" s="1">
        <f>SUM(P.25!Y31)</f>
        <v>97.247706422018354</v>
      </c>
      <c r="H8" s="1">
        <f>SUM(P.25!Z31)</f>
        <v>86.021505376344081</v>
      </c>
      <c r="I8" s="464">
        <f>SUM(P.25!AA31)</f>
        <v>84.090909090909093</v>
      </c>
      <c r="J8" s="2">
        <v>1805</v>
      </c>
      <c r="K8" s="12">
        <f>RANK(I8,$I$4:$I$25,1)+COUNTIF($I$4:I8,I8)-1</f>
        <v>7</v>
      </c>
      <c r="L8" s="11" t="str">
        <f>INDEX(B4:I25,MATCH(5,K4:K25,0),1)</f>
        <v>Jarosław</v>
      </c>
      <c r="M8" s="1">
        <f>INDEX(B4:I25,MATCH(5,K4:K25,0),8)</f>
        <v>80.645161290322577</v>
      </c>
    </row>
    <row r="9" spans="1:13" x14ac:dyDescent="0.25">
      <c r="A9" s="9">
        <v>6</v>
      </c>
      <c r="B9" s="2" t="s">
        <v>74</v>
      </c>
      <c r="C9" s="1">
        <f>SUM(P.25!U32)</f>
        <v>87.387387387387378</v>
      </c>
      <c r="D9" s="1">
        <f>SUM(P.25!V32)</f>
        <v>40</v>
      </c>
      <c r="E9" s="1">
        <f>SUM(P.25!W32)</f>
        <v>96.774193548387103</v>
      </c>
      <c r="F9" s="1">
        <f>SUMIF(P.25!X32,"&gt;1",(P.25!X32))</f>
        <v>94.117647058823522</v>
      </c>
      <c r="G9" s="1">
        <f>SUM(P.25!Y32)</f>
        <v>100</v>
      </c>
      <c r="H9" s="1">
        <f>SUM(P.25!Z32)</f>
        <v>98.591549295774655</v>
      </c>
      <c r="I9" s="562">
        <f>SUMIF(P.25!AA32,"&gt;1",(P.25!AA32))</f>
        <v>0</v>
      </c>
      <c r="J9" s="2">
        <v>1806</v>
      </c>
      <c r="K9" s="12">
        <f>RANK(I9,$I$4:$I$25,1)+COUNTIF($I$4:I9,I9)-1</f>
        <v>1</v>
      </c>
      <c r="L9" s="300" t="str">
        <f>INDEX(B4:I25,MATCH(6,K4:K25,0),1)</f>
        <v>Podkarpacie</v>
      </c>
      <c r="M9" s="296">
        <f>INDEX(B4:I25,MATCH(6,K4:K25,0),8)</f>
        <v>82.754759238521842</v>
      </c>
    </row>
    <row r="10" spans="1:13" x14ac:dyDescent="0.25">
      <c r="A10" s="467">
        <v>7</v>
      </c>
      <c r="B10" s="468" t="s">
        <v>75</v>
      </c>
      <c r="C10" s="95">
        <f>SUM(P.25!U33)</f>
        <v>86.666666666666671</v>
      </c>
      <c r="D10" s="95">
        <f>SUM(P.25!V33)</f>
        <v>43.75</v>
      </c>
      <c r="E10" s="95">
        <f>SUM(P.25!W33)</f>
        <v>100</v>
      </c>
      <c r="F10" s="95">
        <f>SUMIF(P.25!X33,"&gt;1",(P.25!X33))</f>
        <v>100</v>
      </c>
      <c r="G10" s="95">
        <f>SUM(P.25!Y33)</f>
        <v>100</v>
      </c>
      <c r="H10" s="95">
        <f>SUM(P.25!Z33)</f>
        <v>83.15789473684211</v>
      </c>
      <c r="I10" s="465">
        <f>SUM(P.25!AA33)</f>
        <v>97.058823529411768</v>
      </c>
      <c r="J10" s="468" t="s">
        <v>134</v>
      </c>
      <c r="K10" s="12">
        <f>RANK(I10,$I$4:$I$25,1)+COUNTIF($I$4:I10,I10)-1</f>
        <v>20</v>
      </c>
      <c r="L10" s="11" t="str">
        <f>INDEX(B4:I25,MATCH(7,K4:K25,0),1)</f>
        <v>Jasło</v>
      </c>
      <c r="M10" s="1">
        <f>INDEX(B4:I25,MATCH(7,K4:K25,0),8)</f>
        <v>84.090909090909093</v>
      </c>
    </row>
    <row r="11" spans="1:13" x14ac:dyDescent="0.25">
      <c r="A11" s="9">
        <v>8</v>
      </c>
      <c r="B11" s="2" t="s">
        <v>76</v>
      </c>
      <c r="C11" s="1">
        <f>SUM(P.25!U35)</f>
        <v>85.318559556786695</v>
      </c>
      <c r="D11" s="1">
        <f>SUM(P.25!V35)</f>
        <v>18.604651162790699</v>
      </c>
      <c r="E11" s="1">
        <f>SUM(P.25!W35)</f>
        <v>95.945945945945937</v>
      </c>
      <c r="F11" s="1">
        <f>SUMIF(P.25!X35,"&gt;1",(P.25!X35))</f>
        <v>97.163120567375884</v>
      </c>
      <c r="G11" s="1">
        <f>SUM(P.25!Y35)</f>
        <v>89.393939393939391</v>
      </c>
      <c r="H11" s="1">
        <f>SUM(P.25!Z35)</f>
        <v>78.94736842105263</v>
      </c>
      <c r="I11" s="464">
        <f>SUM(P.25!AA35)</f>
        <v>87.5</v>
      </c>
      <c r="J11" s="2">
        <v>1808</v>
      </c>
      <c r="K11" s="12">
        <f>RANK(I11,$I$4:$I$25,1)+COUNTIF($I$4:I11,I11)-1</f>
        <v>9</v>
      </c>
      <c r="L11" s="11" t="str">
        <f>INDEX(B4:I25,MATCH(8,K4:K25,0),1)</f>
        <v>Stalowa Wola</v>
      </c>
      <c r="M11" s="1">
        <f>INDEX(B4:I25,MATCH(8,K4:K25,0),8)</f>
        <v>87.096774193548384</v>
      </c>
    </row>
    <row r="12" spans="1:13" x14ac:dyDescent="0.25">
      <c r="A12" s="9">
        <v>9</v>
      </c>
      <c r="B12" s="2" t="s">
        <v>77</v>
      </c>
      <c r="C12" s="1">
        <f>SUM(P.25!U36)</f>
        <v>85.507246376811594</v>
      </c>
      <c r="D12" s="1">
        <f>SUM(P.25!V36)</f>
        <v>100</v>
      </c>
      <c r="E12" s="1">
        <f>SUM(P.25!W36)</f>
        <v>98.666666666666671</v>
      </c>
      <c r="F12" s="1">
        <f>SUMIF(P.25!X36,"&gt;1",(P.25!X36))</f>
        <v>100</v>
      </c>
      <c r="G12" s="1">
        <f>SUM(P.25!Y36)</f>
        <v>100</v>
      </c>
      <c r="H12" s="464">
        <f>SUMIF(P.25!Z36,"&gt;1",(P.25!Z36))</f>
        <v>100</v>
      </c>
      <c r="I12" s="464">
        <f>SUM(P.25!AA36)</f>
        <v>90.277777777777786</v>
      </c>
      <c r="J12" s="2">
        <v>1809</v>
      </c>
      <c r="K12" s="12">
        <f>RANK(I12,$I$4:$I$25,1)+COUNTIF($I$4:I12,I12)-1</f>
        <v>13</v>
      </c>
      <c r="L12" s="11" t="str">
        <f>INDEX(B4:I25,MATCH(9,K4:K25,0),1)</f>
        <v>Leżajsk</v>
      </c>
      <c r="M12" s="1">
        <f>INDEX(B4:I25,MATCH(9,K4:K25,0),8)</f>
        <v>87.5</v>
      </c>
    </row>
    <row r="13" spans="1:13" x14ac:dyDescent="0.25">
      <c r="A13" s="9">
        <v>10</v>
      </c>
      <c r="B13" s="2" t="s">
        <v>78</v>
      </c>
      <c r="C13" s="1">
        <f>SUM(P.25!U37)</f>
        <v>75.352112676056336</v>
      </c>
      <c r="D13" s="1">
        <f>SUM(P.25!V37)</f>
        <v>52.459016393442624</v>
      </c>
      <c r="E13" s="1">
        <f>SUM(P.25!W37)</f>
        <v>99.173553719008268</v>
      </c>
      <c r="F13" s="1">
        <f>SUMIF(P.25!X37,"&gt;1",(P.25!X37))</f>
        <v>100</v>
      </c>
      <c r="G13" s="1">
        <f>SUM(P.25!Y37)</f>
        <v>93.243243243243242</v>
      </c>
      <c r="H13" s="1">
        <f>SUM(P.25!Z37)</f>
        <v>85.507246376811594</v>
      </c>
      <c r="I13" s="464">
        <f>SUM(P.25!AA37)</f>
        <v>95.833333333333343</v>
      </c>
      <c r="J13" s="2">
        <v>1810</v>
      </c>
      <c r="K13" s="12">
        <f>RANK(I13,$I$4:$I$25,1)+COUNTIF($I$4:I13,I13)-1</f>
        <v>18</v>
      </c>
      <c r="L13" s="11" t="str">
        <f>INDEX(B4:I25,MATCH(10,K4:K25,0),1)</f>
        <v>Przeworsk</v>
      </c>
      <c r="M13" s="1">
        <f>INDEX(B4:I25,MATCH(10,K4:K25,0),8)</f>
        <v>88.888888888888886</v>
      </c>
    </row>
    <row r="14" spans="1:13" x14ac:dyDescent="0.25">
      <c r="A14" s="9">
        <v>11</v>
      </c>
      <c r="B14" s="2" t="s">
        <v>79</v>
      </c>
      <c r="C14" s="1">
        <f>SUM(P.25!U38)</f>
        <v>78.542510121457482</v>
      </c>
      <c r="D14" s="1">
        <f>SUM(P.25!V38)</f>
        <v>57.142857142857139</v>
      </c>
      <c r="E14" s="1">
        <f>SUM(P.25!W38)</f>
        <v>80.314960629921259</v>
      </c>
      <c r="F14" s="1">
        <f>SUMIF(P.25!X38,"&gt;1",(P.25!X38))</f>
        <v>100</v>
      </c>
      <c r="G14" s="1">
        <f>SUM(P.25!Y38)</f>
        <v>100</v>
      </c>
      <c r="H14" s="1">
        <f>SUM(P.25!Z38)</f>
        <v>85.714285714285708</v>
      </c>
      <c r="I14" s="464">
        <f>SUM(P.25!AA38)</f>
        <v>100</v>
      </c>
      <c r="J14" s="2">
        <v>1811</v>
      </c>
      <c r="K14" s="12">
        <f>RANK(I14,$I$4:$I$25,1)+COUNTIF($I$4:I14,I14)-1</f>
        <v>21</v>
      </c>
      <c r="L14" s="57" t="str">
        <f>INDEX(B4:I25,MATCH(11,K4:K25,0),1)</f>
        <v>Strzyżów</v>
      </c>
      <c r="M14" s="15">
        <f>INDEX(B4:I25,MATCH(11,K4:K25,0),8)</f>
        <v>88.888888888888886</v>
      </c>
    </row>
    <row r="15" spans="1:13" x14ac:dyDescent="0.25">
      <c r="A15" s="9">
        <v>12</v>
      </c>
      <c r="B15" s="2" t="s">
        <v>80</v>
      </c>
      <c r="C15" s="1">
        <f>SUM(P.25!U39)</f>
        <v>67.164179104477611</v>
      </c>
      <c r="D15" s="1">
        <f>SUM(P.25!V39)</f>
        <v>40</v>
      </c>
      <c r="E15" s="1">
        <f>SUM(P.25!W39)</f>
        <v>87.937743190661479</v>
      </c>
      <c r="F15" s="1">
        <f>SUMIF(P.25!X39,"&gt;1",(P.25!X39))</f>
        <v>69.230769230769226</v>
      </c>
      <c r="G15" s="1">
        <f>SUM(P.25!Y39)</f>
        <v>100</v>
      </c>
      <c r="H15" s="1">
        <f>SUM(P.25!Z39)</f>
        <v>88.888888888888886</v>
      </c>
      <c r="I15" s="464">
        <f>SUM(P.25!AA39)</f>
        <v>91.666666666666657</v>
      </c>
      <c r="J15" s="2">
        <v>1812</v>
      </c>
      <c r="K15" s="12">
        <f>RANK(I15,$I$4:$I$25,1)+COUNTIF($I$4:I15,I15)-1</f>
        <v>14</v>
      </c>
      <c r="L15" s="11" t="str">
        <f>INDEX(B4:I25,MATCH(12,K4:K25,0),1)</f>
        <v>Brzozów</v>
      </c>
      <c r="M15" s="1">
        <f>INDEX(B4:I25,MATCH(12,K4:K25,0),8)</f>
        <v>89.830508474576277</v>
      </c>
    </row>
    <row r="16" spans="1:13" x14ac:dyDescent="0.25">
      <c r="A16" s="9">
        <v>13</v>
      </c>
      <c r="B16" s="2" t="s">
        <v>81</v>
      </c>
      <c r="C16" s="1">
        <f>SUM(P.25!U40)</f>
        <v>77.5</v>
      </c>
      <c r="D16" s="1">
        <f>SUM(P.25!V40)</f>
        <v>90.243902439024396</v>
      </c>
      <c r="E16" s="1">
        <f>SUM(P.25!W40)</f>
        <v>83.769633507853399</v>
      </c>
      <c r="F16" s="1">
        <f>SUMIF(P.25!X40,"&gt;1",(P.25!X40))</f>
        <v>81.818181818181827</v>
      </c>
      <c r="G16" s="1">
        <f>SUM(P.25!Y40)</f>
        <v>93.442622950819683</v>
      </c>
      <c r="H16" s="1">
        <f>SUM(P.25!Z40)</f>
        <v>85.365853658536579</v>
      </c>
      <c r="I16" s="464">
        <f>SUM(P.25!AA40)</f>
        <v>88.888888888888886</v>
      </c>
      <c r="J16" s="2">
        <v>1814</v>
      </c>
      <c r="K16" s="13">
        <f>RANK(I16,$I$4:$I$25,1)+COUNTIF($I$4:I16,I16)-1</f>
        <v>10</v>
      </c>
      <c r="L16" s="14" t="str">
        <f>INDEX(B4:I25,MATCH(13,K4:K25,0),1)</f>
        <v>Lubaczów</v>
      </c>
      <c r="M16" s="1">
        <f>INDEX(B4:I25,MATCH(13,K4:K25,0),8)</f>
        <v>90.277777777777786</v>
      </c>
    </row>
    <row r="17" spans="1:13" x14ac:dyDescent="0.25">
      <c r="A17" s="9">
        <v>14</v>
      </c>
      <c r="B17" s="2" t="s">
        <v>82</v>
      </c>
      <c r="C17" s="1">
        <f>SUM(P.25!U41)</f>
        <v>79.816513761467888</v>
      </c>
      <c r="D17" s="1">
        <f>SUM(P.25!V41)</f>
        <v>79.166666666666657</v>
      </c>
      <c r="E17" s="1">
        <f>SUM(P.25!W41)</f>
        <v>80.188679245283026</v>
      </c>
      <c r="F17" s="1">
        <f>SUMIF(P.25!X41,"&gt;1",(P.25!X41))</f>
        <v>94.339622641509436</v>
      </c>
      <c r="G17" s="1">
        <f>SUM(P.25!Y41)</f>
        <v>96.969696969696969</v>
      </c>
      <c r="H17" s="1">
        <f>SUM(P.25!Z41)</f>
        <v>79.381443298969074</v>
      </c>
      <c r="I17" s="464">
        <f>SUM(P.25!AA41)</f>
        <v>92.307692307692307</v>
      </c>
      <c r="J17" s="2">
        <v>1815</v>
      </c>
      <c r="K17" s="13">
        <f>RANK(I17,$I$4:$I$25,1)+COUNTIF($I$4:I17,I17)-1</f>
        <v>15</v>
      </c>
      <c r="L17" s="14" t="str">
        <f>INDEX(B4:I25,MATCH(14,K4:K25,0),1)</f>
        <v>Nisko</v>
      </c>
      <c r="M17" s="1">
        <f>INDEX(B4:I25,MATCH(14,K4:K25,0),8)</f>
        <v>91.666666666666657</v>
      </c>
    </row>
    <row r="18" spans="1:13" x14ac:dyDescent="0.25">
      <c r="A18" s="467">
        <v>15</v>
      </c>
      <c r="B18" s="468" t="s">
        <v>83</v>
      </c>
      <c r="C18" s="95">
        <f>SUM(P.25!U43)</f>
        <v>79.514824797843659</v>
      </c>
      <c r="D18" s="95">
        <f>SUM(P.25!V43)</f>
        <v>47.10144927536232</v>
      </c>
      <c r="E18" s="95">
        <f>SUM(P.25!W43)</f>
        <v>91.095890410958901</v>
      </c>
      <c r="F18" s="95">
        <f>SUMIF(P.25!X43,"&gt;1",(P.25!X43))</f>
        <v>99.038461538461547</v>
      </c>
      <c r="G18" s="95">
        <f>SUM(P.25!Y43)</f>
        <v>98.498498498498492</v>
      </c>
      <c r="H18" s="95">
        <f>SUM(P.25!Z43)</f>
        <v>89.029535864978897</v>
      </c>
      <c r="I18" s="465">
        <f>SUM(P.25!AA43)</f>
        <v>95.945945945945937</v>
      </c>
      <c r="J18" s="468" t="s">
        <v>136</v>
      </c>
      <c r="K18" s="12">
        <f>RANK(I18,$I$4:$I$25,1)+COUNTIF($I$4:I18,I18)-1</f>
        <v>19</v>
      </c>
      <c r="L18" s="2" t="str">
        <f>INDEX(B4:I25,MATCH(15,K4:K25,0),1)</f>
        <v>Ropczyce</v>
      </c>
      <c r="M18" s="1">
        <f>INDEX(B4:I25,MATCH(15,K4:K25,0),8)</f>
        <v>92.307692307692307</v>
      </c>
    </row>
    <row r="19" spans="1:13" x14ac:dyDescent="0.25">
      <c r="A19" s="9">
        <v>16</v>
      </c>
      <c r="B19" s="2" t="s">
        <v>84</v>
      </c>
      <c r="C19" s="1">
        <f>SUM(P.25!U44)</f>
        <v>79.646017699115049</v>
      </c>
      <c r="D19" s="1">
        <f>SUM(P.25!V44)</f>
        <v>61.855670103092784</v>
      </c>
      <c r="E19" s="1">
        <f>SUM(P.25!W44)</f>
        <v>93.421052631578945</v>
      </c>
      <c r="F19" s="1">
        <f>SUMIF(P.25!X44,"&gt;1",(P.25!X44))</f>
        <v>88.888888888888886</v>
      </c>
      <c r="G19" s="1">
        <f>SUM(P.25!Y44)</f>
        <v>97.27272727272728</v>
      </c>
      <c r="H19" s="1">
        <f>SUM(P.25!Z44)</f>
        <v>92.20779220779221</v>
      </c>
      <c r="I19" s="464">
        <f>SUM(P.25!AA44)</f>
        <v>94.444444444444443</v>
      </c>
      <c r="J19" s="2">
        <v>1817</v>
      </c>
      <c r="K19" s="12">
        <f>RANK(I19,$I$4:$I$25,1)+COUNTIF($I$4:I19,I19)-1</f>
        <v>17</v>
      </c>
      <c r="L19" s="2" t="str">
        <f>INDEX(B4:I25,MATCH(16,K4:K25,0),1)</f>
        <v>Dębica</v>
      </c>
      <c r="M19" s="1">
        <f>INDEX(B4:I25,MATCH(16,K4:K25,0),8)</f>
        <v>93.548387096774192</v>
      </c>
    </row>
    <row r="20" spans="1:13" x14ac:dyDescent="0.25">
      <c r="A20" s="9">
        <v>17</v>
      </c>
      <c r="B20" s="2" t="s">
        <v>85</v>
      </c>
      <c r="C20" s="1">
        <f>SUM(P.25!U45)</f>
        <v>85.051546391752581</v>
      </c>
      <c r="D20" s="1">
        <f>SUM(P.25!V45)</f>
        <v>56.756756756756758</v>
      </c>
      <c r="E20" s="1">
        <f>SUM(P.25!W45)</f>
        <v>100</v>
      </c>
      <c r="F20" s="1">
        <f>SUMIF(P.25!X45,"&gt;1",(P.25!X45))</f>
        <v>100</v>
      </c>
      <c r="G20" s="1">
        <f>SUM(P.25!Y45)</f>
        <v>96.721311475409834</v>
      </c>
      <c r="H20" s="1">
        <f>SUM(P.25!Z45)</f>
        <v>91.83673469387756</v>
      </c>
      <c r="I20" s="464">
        <f>SUM(P.25!AA45)</f>
        <v>87.096774193548384</v>
      </c>
      <c r="J20" s="2">
        <v>1818</v>
      </c>
      <c r="K20" s="12">
        <f>RANK(I20,$I$4:$I$25,1)+COUNTIF($I$4:I20,I20)-1</f>
        <v>8</v>
      </c>
      <c r="L20" s="2" t="str">
        <f>INDEX(B4:I25,MATCH(17,K4:K25,0),1)</f>
        <v>Sanok</v>
      </c>
      <c r="M20" s="1">
        <f>INDEX(B4:I25,MATCH(17,K4:K25,0),8)</f>
        <v>94.444444444444443</v>
      </c>
    </row>
    <row r="21" spans="1:13" x14ac:dyDescent="0.25">
      <c r="A21" s="9">
        <v>18</v>
      </c>
      <c r="B21" s="2" t="s">
        <v>86</v>
      </c>
      <c r="C21" s="1">
        <f>SUM(P.25!U46)</f>
        <v>84.859154929577457</v>
      </c>
      <c r="D21" s="1">
        <f>SUM(P.25!V46)</f>
        <v>63.768115942028977</v>
      </c>
      <c r="E21" s="1">
        <f>SUM(P.25!W46)</f>
        <v>100</v>
      </c>
      <c r="F21" s="1">
        <f>SUMIF(P.25!X46,"&gt;1",(P.25!X46))</f>
        <v>98.290598290598282</v>
      </c>
      <c r="G21" s="1">
        <f>SUM(P.25!Y46)</f>
        <v>100</v>
      </c>
      <c r="H21" s="1">
        <f>SUM(P.25!Z46)</f>
        <v>94.666666666666671</v>
      </c>
      <c r="I21" s="464">
        <f>SUM(P.25!AA46)</f>
        <v>88.888888888888886</v>
      </c>
      <c r="J21" s="2">
        <v>1819</v>
      </c>
      <c r="K21" s="12">
        <f>RANK(I21,$I$4:$I$25,1)+COUNTIF($I$4:I21,I21)-1</f>
        <v>11</v>
      </c>
      <c r="L21" s="2" t="str">
        <f>INDEX(B4:I25,MATCH(18,K4:K25,0),1)</f>
        <v>Łańcut</v>
      </c>
      <c r="M21" s="1">
        <f>INDEX(B4:I25,MATCH(18,K4:K25,0),8)</f>
        <v>95.833333333333343</v>
      </c>
    </row>
    <row r="22" spans="1:13" x14ac:dyDescent="0.25">
      <c r="A22" s="467">
        <v>19</v>
      </c>
      <c r="B22" s="468" t="s">
        <v>87</v>
      </c>
      <c r="C22" s="95">
        <f>SUM(P.25!U47)</f>
        <v>84.491978609625676</v>
      </c>
      <c r="D22" s="95">
        <f>SUM(P.25!V47)</f>
        <v>44.444444444444443</v>
      </c>
      <c r="E22" s="95">
        <f>SUM(P.25!W47)</f>
        <v>97.849462365591393</v>
      </c>
      <c r="F22" s="95">
        <f>SUMIF(P.25!X47,"&gt;1",(P.25!X47))</f>
        <v>99.371069182389931</v>
      </c>
      <c r="G22" s="95">
        <f>SUM(P.25!Y47)</f>
        <v>97.560975609756099</v>
      </c>
      <c r="H22" s="95">
        <f>SUM(P.25!Z47)</f>
        <v>100</v>
      </c>
      <c r="I22" s="465">
        <f>SUM(P.25!AA47)</f>
        <v>100</v>
      </c>
      <c r="J22" s="468" t="s">
        <v>137</v>
      </c>
      <c r="K22" s="12">
        <f>RANK(I22,$I$4:$I$25,1)+COUNTIF($I$4:I22,I22)-1</f>
        <v>22</v>
      </c>
      <c r="L22" s="2" t="str">
        <f>INDEX(B4:I25,MATCH(19,K4:K25,0),1)</f>
        <v>Rzeszów</v>
      </c>
      <c r="M22" s="1">
        <f>INDEX(B4:I25,MATCH(19,K4:K25,0),8)</f>
        <v>95.945945945945937</v>
      </c>
    </row>
    <row r="23" spans="1:13" x14ac:dyDescent="0.25">
      <c r="A23" s="9">
        <v>20</v>
      </c>
      <c r="B23" s="2" t="s">
        <v>88</v>
      </c>
      <c r="C23" s="1">
        <f>SUM(P.25!U48)</f>
        <v>88.461538461538453</v>
      </c>
      <c r="D23" s="1">
        <f>SUM(P.25!V48)</f>
        <v>61.53846153846154</v>
      </c>
      <c r="E23" s="1">
        <f>SUM(P.25!W48)</f>
        <v>89.743589743589752</v>
      </c>
      <c r="F23" s="1">
        <f>SUMIF(P.25!X48,"&gt;1",(P.25!X48))</f>
        <v>96.969696969696969</v>
      </c>
      <c r="G23" s="1">
        <f>SUM(P.25!Y48)</f>
        <v>92.1875</v>
      </c>
      <c r="H23" s="1">
        <f>SUM(P.25!Z48)</f>
        <v>100</v>
      </c>
      <c r="I23" s="464">
        <f>SUM(P.25!AA48)</f>
        <v>77.272727272727266</v>
      </c>
      <c r="J23" s="2">
        <v>1821</v>
      </c>
      <c r="K23" s="12">
        <f>RANK(I23,$I$4:$I$25,1)+COUNTIF($I$4:I23,I23)-1</f>
        <v>4</v>
      </c>
      <c r="L23" s="2" t="str">
        <f>INDEX(B4:I25,MATCH(20,K4:K25,0),1)</f>
        <v>Krosno</v>
      </c>
      <c r="M23" s="1">
        <f>INDEX(B4:I25,MATCH(20,K4:K25,0),8)</f>
        <v>97.058823529411768</v>
      </c>
    </row>
    <row r="24" spans="1:13" x14ac:dyDescent="0.25">
      <c r="A24" s="467">
        <v>21</v>
      </c>
      <c r="B24" s="468" t="s">
        <v>91</v>
      </c>
      <c r="C24" s="95">
        <f>SUM(P.25!U49)</f>
        <v>89.629629629629619</v>
      </c>
      <c r="D24" s="95">
        <f>SUM(P.25!V49)</f>
        <v>65.517241379310349</v>
      </c>
      <c r="E24" s="95">
        <f>SUM(P.25!W49)</f>
        <v>98.888888888888886</v>
      </c>
      <c r="F24" s="95">
        <f>SUMIF(P.25!X49,"&gt;1",(P.25!X49))</f>
        <v>94.444444444444443</v>
      </c>
      <c r="G24" s="95">
        <f>SUM(P.25!Y49)</f>
        <v>94.078947368421055</v>
      </c>
      <c r="H24" s="95">
        <f>SUM(P.25!Z49)</f>
        <v>92.134831460674164</v>
      </c>
      <c r="I24" s="465">
        <f>SUM(P.25!AA49)</f>
        <v>56.684491978609628</v>
      </c>
      <c r="J24" s="468" t="s">
        <v>135</v>
      </c>
      <c r="K24" s="12">
        <f>RANK(I24,$I$4:$I$25,1)+COUNTIF($I$4:I24,I24)-1</f>
        <v>2</v>
      </c>
      <c r="L24" s="2" t="str">
        <f>INDEX(B4:I25,MATCH(21,K4:K25,0),1)</f>
        <v>Mielec</v>
      </c>
      <c r="M24" s="1">
        <f>INDEX(B4:I25,MATCH(21,K4:K25,0),8)</f>
        <v>100</v>
      </c>
    </row>
    <row r="25" spans="1:13" x14ac:dyDescent="0.25">
      <c r="A25" s="9">
        <v>22</v>
      </c>
      <c r="B25" s="11" t="s">
        <v>94</v>
      </c>
      <c r="C25" s="1">
        <f>SUM(P.25!U50)</f>
        <v>82.448610797379715</v>
      </c>
      <c r="D25" s="1">
        <f>SUM(P.25!V50)</f>
        <v>51.242236024844722</v>
      </c>
      <c r="E25" s="1">
        <f>SUM(P.25!W50)</f>
        <v>93.262653898768804</v>
      </c>
      <c r="F25" s="1">
        <f>SUMIF(P.25!X50,"&gt;1",(P.25!X50))</f>
        <v>96.568977841315231</v>
      </c>
      <c r="G25" s="1">
        <f>SUM(P.25!Y50)</f>
        <v>97.348066298342545</v>
      </c>
      <c r="H25" s="1">
        <f>SUM(P.25!Z50)</f>
        <v>89.86486486486487</v>
      </c>
      <c r="I25" s="464">
        <f>SUM(P.25!AA50)</f>
        <v>82.754759238521842</v>
      </c>
      <c r="J25" s="2">
        <v>1800</v>
      </c>
      <c r="K25" s="12">
        <f>RANK(I25,$I$4:$I$25,1)+COUNTIF($I$4:I25,I25)-1</f>
        <v>6</v>
      </c>
      <c r="L25" s="2" t="str">
        <f>INDEX(B4:I25,MATCH(22,K4:K25,0),1)</f>
        <v>Tarnobrzeg</v>
      </c>
      <c r="M25" s="1">
        <f>INDEX(B4:I25,MATCH(22,K4:K25,0),8)</f>
        <v>100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</row>
    <row r="28" spans="1:13" x14ac:dyDescent="0.25">
      <c r="A28" s="9">
        <v>2</v>
      </c>
      <c r="B28" s="10" t="s">
        <v>2</v>
      </c>
      <c r="C28" s="8" t="s">
        <v>143</v>
      </c>
      <c r="D28" s="17"/>
      <c r="E28" s="17"/>
      <c r="F28" s="17"/>
      <c r="G28" s="17"/>
      <c r="H28" s="17"/>
      <c r="I28" s="17"/>
      <c r="J28" s="17"/>
      <c r="K28" s="16"/>
      <c r="L28" s="17"/>
    </row>
    <row r="29" spans="1:13" x14ac:dyDescent="0.25">
      <c r="A29" s="9">
        <v>3</v>
      </c>
      <c r="B29" s="10" t="s">
        <v>3</v>
      </c>
      <c r="C29" s="8" t="s">
        <v>143</v>
      </c>
      <c r="D29" s="16"/>
      <c r="E29" s="16"/>
      <c r="F29" s="16"/>
      <c r="G29" s="16"/>
      <c r="H29" s="16"/>
      <c r="I29" s="16"/>
      <c r="J29" s="17"/>
      <c r="K29" s="17"/>
      <c r="L29" s="17"/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463">
        <v>7</v>
      </c>
      <c r="B33" s="466" t="s">
        <v>11</v>
      </c>
      <c r="C33" s="8" t="s">
        <v>143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3D440-A18C-4070-B38B-593C08AEA287}">
  <sheetPr>
    <tabColor theme="4" tint="0.79998168889431442"/>
    <pageSetUpPr fitToPage="1"/>
  </sheetPr>
  <dimension ref="B1:N30"/>
  <sheetViews>
    <sheetView zoomScale="80" zoomScaleNormal="80" workbookViewId="0">
      <selection activeCell="B1" sqref="B1"/>
    </sheetView>
  </sheetViews>
  <sheetFormatPr defaultRowHeight="12.75" x14ac:dyDescent="0.2"/>
  <cols>
    <col min="1" max="1" width="2.28515625" style="61" customWidth="1"/>
    <col min="2" max="2" width="37.7109375" style="61" customWidth="1"/>
    <col min="3" max="3" width="15.7109375" style="61" customWidth="1"/>
    <col min="4" max="4" width="16.5703125" style="61" customWidth="1"/>
    <col min="5" max="5" width="18.42578125" style="61" customWidth="1"/>
    <col min="6" max="7" width="20.7109375" style="61" customWidth="1"/>
    <col min="8" max="8" width="3.5703125" style="61" customWidth="1"/>
    <col min="9" max="9" width="37.28515625" style="61" customWidth="1"/>
    <col min="10" max="10" width="18" style="61" customWidth="1"/>
    <col min="11" max="11" width="17.140625" style="61" customWidth="1"/>
    <col min="12" max="12" width="23.85546875" style="61" customWidth="1"/>
    <col min="13" max="13" width="16.5703125" style="61" customWidth="1"/>
    <col min="14" max="14" width="19.42578125" style="61" customWidth="1"/>
    <col min="15" max="16384" width="9.140625" style="61"/>
  </cols>
  <sheetData>
    <row r="1" spans="2:14" ht="13.5" thickBot="1" x14ac:dyDescent="0.25"/>
    <row r="2" spans="2:14" ht="15" customHeight="1" x14ac:dyDescent="0.2">
      <c r="B2" s="662" t="s">
        <v>54</v>
      </c>
      <c r="C2" s="630" t="s">
        <v>330</v>
      </c>
      <c r="D2" s="634" t="s">
        <v>330</v>
      </c>
      <c r="E2" s="651" t="s">
        <v>65</v>
      </c>
      <c r="F2" s="652" t="s">
        <v>65</v>
      </c>
      <c r="G2" s="671" t="s">
        <v>224</v>
      </c>
      <c r="I2" s="662" t="s">
        <v>54</v>
      </c>
      <c r="J2" s="630" t="s">
        <v>330</v>
      </c>
      <c r="K2" s="634" t="s">
        <v>330</v>
      </c>
      <c r="L2" s="651" t="s">
        <v>65</v>
      </c>
      <c r="M2" s="652" t="s">
        <v>65</v>
      </c>
      <c r="N2" s="671" t="s">
        <v>224</v>
      </c>
    </row>
    <row r="3" spans="2:14" ht="12.75" customHeight="1" x14ac:dyDescent="0.2">
      <c r="B3" s="663" t="s">
        <v>55</v>
      </c>
      <c r="C3" s="631" t="s">
        <v>478</v>
      </c>
      <c r="D3" s="635" t="s">
        <v>478</v>
      </c>
      <c r="E3" s="653" t="s">
        <v>447</v>
      </c>
      <c r="F3" s="632" t="s">
        <v>447</v>
      </c>
      <c r="G3" s="672" t="s">
        <v>335</v>
      </c>
      <c r="I3" s="663" t="s">
        <v>55</v>
      </c>
      <c r="J3" s="631" t="s">
        <v>478</v>
      </c>
      <c r="K3" s="635" t="s">
        <v>478</v>
      </c>
      <c r="L3" s="653" t="s">
        <v>447</v>
      </c>
      <c r="M3" s="632" t="s">
        <v>447</v>
      </c>
      <c r="N3" s="672" t="s">
        <v>335</v>
      </c>
    </row>
    <row r="4" spans="2:14" ht="12.75" customHeight="1" x14ac:dyDescent="0.2">
      <c r="B4" s="664"/>
      <c r="C4" s="633"/>
      <c r="D4" s="636"/>
      <c r="E4" s="654" t="s">
        <v>333</v>
      </c>
      <c r="F4" s="655" t="s">
        <v>333</v>
      </c>
      <c r="G4" s="663" t="s">
        <v>336</v>
      </c>
      <c r="I4" s="664"/>
      <c r="J4" s="633"/>
      <c r="K4" s="636"/>
      <c r="L4" s="654" t="s">
        <v>333</v>
      </c>
      <c r="M4" s="655" t="s">
        <v>333</v>
      </c>
      <c r="N4" s="663" t="s">
        <v>336</v>
      </c>
    </row>
    <row r="5" spans="2:14" ht="14.25" x14ac:dyDescent="0.2">
      <c r="B5" s="664"/>
      <c r="C5" s="637"/>
      <c r="D5" s="638"/>
      <c r="E5" s="656" t="s">
        <v>334</v>
      </c>
      <c r="F5" s="657" t="s">
        <v>334</v>
      </c>
      <c r="G5" s="663" t="s">
        <v>337</v>
      </c>
      <c r="I5" s="664"/>
      <c r="J5" s="637"/>
      <c r="K5" s="638"/>
      <c r="L5" s="656" t="s">
        <v>334</v>
      </c>
      <c r="M5" s="657" t="s">
        <v>334</v>
      </c>
      <c r="N5" s="663" t="s">
        <v>337</v>
      </c>
    </row>
    <row r="6" spans="2:14" ht="15" thickBot="1" x14ac:dyDescent="0.25">
      <c r="B6" s="665"/>
      <c r="C6" s="639">
        <v>2022</v>
      </c>
      <c r="D6" s="640">
        <v>2023</v>
      </c>
      <c r="E6" s="639">
        <v>2022</v>
      </c>
      <c r="F6" s="658">
        <v>2023</v>
      </c>
      <c r="G6" s="673"/>
      <c r="I6" s="665"/>
      <c r="J6" s="639">
        <v>2023</v>
      </c>
      <c r="K6" s="640">
        <v>2024</v>
      </c>
      <c r="L6" s="639">
        <v>2023</v>
      </c>
      <c r="M6" s="658">
        <v>2024</v>
      </c>
      <c r="N6" s="673"/>
    </row>
    <row r="7" spans="2:14" ht="15.75" customHeight="1" x14ac:dyDescent="0.2">
      <c r="B7" s="666" t="s">
        <v>2</v>
      </c>
      <c r="C7" s="641">
        <v>5662.5</v>
      </c>
      <c r="D7" s="642">
        <v>7126.894150000001</v>
      </c>
      <c r="E7" s="641">
        <v>7250.3</v>
      </c>
      <c r="F7" s="659">
        <v>10239.790445402301</v>
      </c>
      <c r="G7" s="674">
        <f>SUM(F7)-E7</f>
        <v>2989.4904454023008</v>
      </c>
      <c r="I7" s="666" t="s">
        <v>2</v>
      </c>
      <c r="J7" s="641">
        <v>7126.894150000001</v>
      </c>
      <c r="K7" s="642">
        <v>6984.9395700000005</v>
      </c>
      <c r="L7" s="641">
        <v>10239.790445402301</v>
      </c>
      <c r="M7" s="659">
        <v>9581.5357613168726</v>
      </c>
      <c r="N7" s="681">
        <f>SUM(M7)-L7</f>
        <v>-658.25468408542838</v>
      </c>
    </row>
    <row r="8" spans="2:14" ht="15.75" customHeight="1" x14ac:dyDescent="0.2">
      <c r="B8" s="667" t="s">
        <v>1</v>
      </c>
      <c r="C8" s="643">
        <v>82696.3</v>
      </c>
      <c r="D8" s="644">
        <v>75098.213939999987</v>
      </c>
      <c r="E8" s="643">
        <v>13014.8</v>
      </c>
      <c r="F8" s="660">
        <v>13448.820547994266</v>
      </c>
      <c r="G8" s="675">
        <f t="shared" ref="G8:G15" si="0">SUM(F8)-E8</f>
        <v>434.02054799426696</v>
      </c>
      <c r="I8" s="667" t="s">
        <v>1</v>
      </c>
      <c r="J8" s="643">
        <v>75098.213939999987</v>
      </c>
      <c r="K8" s="644">
        <v>63422.597880000001</v>
      </c>
      <c r="L8" s="643">
        <v>13448.820547994266</v>
      </c>
      <c r="M8" s="660">
        <v>16068.55786166709</v>
      </c>
      <c r="N8" s="675">
        <f t="shared" ref="N8:N15" si="1">SUM(M8)-L8</f>
        <v>2619.7373136728238</v>
      </c>
    </row>
    <row r="9" spans="2:14" ht="15.75" customHeight="1" x14ac:dyDescent="0.2">
      <c r="B9" s="667" t="s">
        <v>3</v>
      </c>
      <c r="C9" s="643">
        <v>29417.7</v>
      </c>
      <c r="D9" s="644">
        <v>30270.60241</v>
      </c>
      <c r="E9" s="643">
        <v>8721.5</v>
      </c>
      <c r="F9" s="660">
        <v>9342.7785216049379</v>
      </c>
      <c r="G9" s="675">
        <f t="shared" si="0"/>
        <v>621.27852160493785</v>
      </c>
      <c r="I9" s="667" t="s">
        <v>3</v>
      </c>
      <c r="J9" s="643">
        <v>30270.60241</v>
      </c>
      <c r="K9" s="644">
        <v>29841.221139999991</v>
      </c>
      <c r="L9" s="643">
        <v>9342.7785216049379</v>
      </c>
      <c r="M9" s="660">
        <v>10383.166715379259</v>
      </c>
      <c r="N9" s="675">
        <f t="shared" si="1"/>
        <v>1040.3881937743208</v>
      </c>
    </row>
    <row r="10" spans="2:14" ht="19.5" customHeight="1" x14ac:dyDescent="0.2">
      <c r="B10" s="667" t="s">
        <v>4</v>
      </c>
      <c r="C10" s="643">
        <v>30695.200000000001</v>
      </c>
      <c r="D10" s="644">
        <v>30876.941329999998</v>
      </c>
      <c r="E10" s="643">
        <v>17225.099999999999</v>
      </c>
      <c r="F10" s="660">
        <v>18046.137539450614</v>
      </c>
      <c r="G10" s="675">
        <f>SUM(F10)-E10</f>
        <v>821.03753945061544</v>
      </c>
      <c r="I10" s="667" t="s">
        <v>4</v>
      </c>
      <c r="J10" s="643">
        <v>30876.941329999998</v>
      </c>
      <c r="K10" s="644">
        <v>29865.348729999998</v>
      </c>
      <c r="L10" s="643">
        <v>18046.137539450614</v>
      </c>
      <c r="M10" s="660">
        <v>19243.137068298965</v>
      </c>
      <c r="N10" s="675">
        <f t="shared" si="1"/>
        <v>1196.9995288483515</v>
      </c>
    </row>
    <row r="11" spans="2:14" ht="32.25" customHeight="1" x14ac:dyDescent="0.2">
      <c r="B11" s="667" t="s">
        <v>56</v>
      </c>
      <c r="C11" s="643">
        <v>64698.1</v>
      </c>
      <c r="D11" s="644">
        <v>73704.392210000005</v>
      </c>
      <c r="E11" s="643">
        <v>29182.7</v>
      </c>
      <c r="F11" s="660">
        <v>33871.503772977943</v>
      </c>
      <c r="G11" s="675">
        <f t="shared" si="0"/>
        <v>4688.8037729779426</v>
      </c>
      <c r="I11" s="667" t="s">
        <v>56</v>
      </c>
      <c r="J11" s="643">
        <v>73704.392210000005</v>
      </c>
      <c r="K11" s="644">
        <v>67173.105859999996</v>
      </c>
      <c r="L11" s="643">
        <v>33871.503772977943</v>
      </c>
      <c r="M11" s="660">
        <v>30190.15993707865</v>
      </c>
      <c r="N11" s="676">
        <f t="shared" si="1"/>
        <v>-3681.3438358992935</v>
      </c>
    </row>
    <row r="12" spans="2:14" ht="33" customHeight="1" x14ac:dyDescent="0.2">
      <c r="B12" s="668" t="s">
        <v>57</v>
      </c>
      <c r="C12" s="643">
        <v>63169.599999999999</v>
      </c>
      <c r="D12" s="644">
        <v>59305.516130000004</v>
      </c>
      <c r="E12" s="643">
        <v>53083.7</v>
      </c>
      <c r="F12" s="660">
        <v>38187.711609787511</v>
      </c>
      <c r="G12" s="676">
        <f t="shared" si="0"/>
        <v>-14895.988390212486</v>
      </c>
      <c r="I12" s="668" t="s">
        <v>57</v>
      </c>
      <c r="J12" s="643">
        <v>59305.516130000004</v>
      </c>
      <c r="K12" s="644">
        <v>54417.095179999997</v>
      </c>
      <c r="L12" s="643">
        <v>38187.711609787511</v>
      </c>
      <c r="M12" s="660">
        <v>29430.554451054624</v>
      </c>
      <c r="N12" s="676">
        <f t="shared" si="1"/>
        <v>-8757.1571587328872</v>
      </c>
    </row>
    <row r="13" spans="2:14" ht="21" customHeight="1" x14ac:dyDescent="0.2">
      <c r="B13" s="667" t="s">
        <v>11</v>
      </c>
      <c r="C13" s="643">
        <v>10240.799999999999</v>
      </c>
      <c r="D13" s="644">
        <v>12076.427929999998</v>
      </c>
      <c r="E13" s="643">
        <v>11216.6</v>
      </c>
      <c r="F13" s="660">
        <v>12619.046948798326</v>
      </c>
      <c r="G13" s="677">
        <f t="shared" si="0"/>
        <v>1402.446948798326</v>
      </c>
      <c r="I13" s="667" t="s">
        <v>11</v>
      </c>
      <c r="J13" s="643">
        <v>12076.427929999998</v>
      </c>
      <c r="K13" s="644">
        <v>10365.363069999999</v>
      </c>
      <c r="L13" s="643">
        <v>12619.046948798326</v>
      </c>
      <c r="M13" s="660">
        <v>9824.9886919431283</v>
      </c>
      <c r="N13" s="680">
        <f t="shared" si="1"/>
        <v>-2794.0582568551981</v>
      </c>
    </row>
    <row r="14" spans="2:14" ht="18" customHeight="1" x14ac:dyDescent="0.2">
      <c r="B14" s="669" t="s">
        <v>331</v>
      </c>
      <c r="C14" s="645">
        <v>276339.5</v>
      </c>
      <c r="D14" s="646">
        <v>276382.56017000001</v>
      </c>
      <c r="E14" s="645">
        <v>17604.599999999999</v>
      </c>
      <c r="F14" s="661">
        <v>18474.770064839573</v>
      </c>
      <c r="G14" s="678">
        <f t="shared" si="0"/>
        <v>870.17006483957448</v>
      </c>
      <c r="I14" s="669" t="s">
        <v>331</v>
      </c>
      <c r="J14" s="645">
        <v>276382.56017000001</v>
      </c>
      <c r="K14" s="646">
        <v>251704.30836</v>
      </c>
      <c r="L14" s="645">
        <v>18474.770064839573</v>
      </c>
      <c r="M14" s="661">
        <v>19103.241375227688</v>
      </c>
      <c r="N14" s="678">
        <f t="shared" si="1"/>
        <v>628.47131038811494</v>
      </c>
    </row>
    <row r="15" spans="2:14" ht="32.25" customHeight="1" thickBot="1" x14ac:dyDescent="0.25">
      <c r="B15" s="670" t="s">
        <v>332</v>
      </c>
      <c r="C15" s="571">
        <v>286580.3</v>
      </c>
      <c r="D15" s="647">
        <v>288458.98810000002</v>
      </c>
      <c r="E15" s="571">
        <v>17253.5</v>
      </c>
      <c r="F15" s="572">
        <v>18122.698253439721</v>
      </c>
      <c r="G15" s="679">
        <f t="shared" si="0"/>
        <v>869.19825343972116</v>
      </c>
      <c r="I15" s="670" t="s">
        <v>332</v>
      </c>
      <c r="J15" s="571">
        <v>288458.98810000002</v>
      </c>
      <c r="K15" s="647">
        <v>262069.67142999999</v>
      </c>
      <c r="L15" s="571">
        <v>18122.698253439721</v>
      </c>
      <c r="M15" s="572">
        <v>18415.408012788983</v>
      </c>
      <c r="N15" s="679">
        <f t="shared" si="1"/>
        <v>292.70975934926173</v>
      </c>
    </row>
    <row r="16" spans="2:14" ht="13.5" thickBot="1" x14ac:dyDescent="0.25"/>
    <row r="17" spans="2:14" ht="15" customHeight="1" x14ac:dyDescent="0.2">
      <c r="B17" s="662" t="s">
        <v>54</v>
      </c>
      <c r="C17" s="630" t="s">
        <v>330</v>
      </c>
      <c r="D17" s="634" t="s">
        <v>330</v>
      </c>
      <c r="E17" s="651" t="s">
        <v>65</v>
      </c>
      <c r="F17" s="652" t="s">
        <v>65</v>
      </c>
      <c r="G17" s="671" t="s">
        <v>224</v>
      </c>
      <c r="I17" s="662" t="s">
        <v>54</v>
      </c>
      <c r="J17" s="630" t="s">
        <v>330</v>
      </c>
      <c r="K17" s="634" t="s">
        <v>330</v>
      </c>
      <c r="L17" s="651" t="s">
        <v>65</v>
      </c>
      <c r="M17" s="652" t="s">
        <v>65</v>
      </c>
      <c r="N17" s="648" t="s">
        <v>224</v>
      </c>
    </row>
    <row r="18" spans="2:14" ht="14.25" customHeight="1" x14ac:dyDescent="0.2">
      <c r="B18" s="663" t="s">
        <v>55</v>
      </c>
      <c r="C18" s="631" t="s">
        <v>478</v>
      </c>
      <c r="D18" s="635" t="s">
        <v>478</v>
      </c>
      <c r="E18" s="653" t="s">
        <v>447</v>
      </c>
      <c r="F18" s="632" t="s">
        <v>447</v>
      </c>
      <c r="G18" s="672" t="s">
        <v>335</v>
      </c>
      <c r="I18" s="663" t="s">
        <v>55</v>
      </c>
      <c r="J18" s="631" t="s">
        <v>478</v>
      </c>
      <c r="K18" s="635" t="s">
        <v>478</v>
      </c>
      <c r="L18" s="653" t="s">
        <v>447</v>
      </c>
      <c r="M18" s="632" t="s">
        <v>447</v>
      </c>
      <c r="N18" s="649" t="s">
        <v>335</v>
      </c>
    </row>
    <row r="19" spans="2:14" ht="12" customHeight="1" x14ac:dyDescent="0.2">
      <c r="B19" s="664"/>
      <c r="C19" s="633"/>
      <c r="D19" s="636"/>
      <c r="E19" s="654" t="s">
        <v>333</v>
      </c>
      <c r="F19" s="655" t="s">
        <v>333</v>
      </c>
      <c r="G19" s="663" t="s">
        <v>336</v>
      </c>
      <c r="I19" s="664"/>
      <c r="J19" s="633"/>
      <c r="K19" s="636"/>
      <c r="L19" s="654" t="s">
        <v>333</v>
      </c>
      <c r="M19" s="655" t="s">
        <v>333</v>
      </c>
      <c r="N19" s="635" t="s">
        <v>336</v>
      </c>
    </row>
    <row r="20" spans="2:14" ht="14.25" x14ac:dyDescent="0.2">
      <c r="B20" s="664"/>
      <c r="C20" s="637"/>
      <c r="D20" s="638"/>
      <c r="E20" s="656" t="s">
        <v>334</v>
      </c>
      <c r="F20" s="657" t="s">
        <v>334</v>
      </c>
      <c r="G20" s="663" t="s">
        <v>337</v>
      </c>
      <c r="I20" s="664"/>
      <c r="J20" s="637"/>
      <c r="K20" s="638"/>
      <c r="L20" s="656" t="s">
        <v>334</v>
      </c>
      <c r="M20" s="657" t="s">
        <v>334</v>
      </c>
      <c r="N20" s="635" t="s">
        <v>337</v>
      </c>
    </row>
    <row r="21" spans="2:14" ht="15" thickBot="1" x14ac:dyDescent="0.25">
      <c r="B21" s="665"/>
      <c r="C21" s="639">
        <v>2024</v>
      </c>
      <c r="D21" s="640">
        <v>2025</v>
      </c>
      <c r="E21" s="639">
        <v>2024</v>
      </c>
      <c r="F21" s="658">
        <v>2025</v>
      </c>
      <c r="G21" s="673"/>
      <c r="I21" s="665"/>
      <c r="J21" s="639"/>
      <c r="K21" s="640"/>
      <c r="L21" s="639"/>
      <c r="M21" s="658"/>
      <c r="N21" s="650"/>
    </row>
    <row r="22" spans="2:14" ht="14.25" x14ac:dyDescent="0.2">
      <c r="B22" s="666" t="s">
        <v>2</v>
      </c>
      <c r="C22" s="641">
        <v>6984.9395700000005</v>
      </c>
      <c r="D22" s="642">
        <v>6665.2149499999987</v>
      </c>
      <c r="E22" s="641">
        <v>9581.5357613168726</v>
      </c>
      <c r="F22" s="659">
        <v>10098.810530303028</v>
      </c>
      <c r="G22" s="674">
        <f t="shared" ref="G22:G30" si="2">SUM(F22)-E22</f>
        <v>517.27476898615532</v>
      </c>
      <c r="I22" s="666" t="s">
        <v>2</v>
      </c>
      <c r="J22" s="641"/>
      <c r="K22" s="642"/>
      <c r="L22" s="641"/>
      <c r="M22" s="659"/>
      <c r="N22" s="685">
        <f>SUM(M22)-L22</f>
        <v>0</v>
      </c>
    </row>
    <row r="23" spans="2:14" ht="14.25" x14ac:dyDescent="0.2">
      <c r="B23" s="667" t="s">
        <v>1</v>
      </c>
      <c r="C23" s="643">
        <v>63422.597880000001</v>
      </c>
      <c r="D23" s="644">
        <v>67134.324789999999</v>
      </c>
      <c r="E23" s="643">
        <v>16068.55786166709</v>
      </c>
      <c r="F23" s="660">
        <v>18392.965695890409</v>
      </c>
      <c r="G23" s="675">
        <f t="shared" si="2"/>
        <v>2324.4078342233188</v>
      </c>
      <c r="I23" s="667" t="s">
        <v>1</v>
      </c>
      <c r="J23" s="643"/>
      <c r="K23" s="644"/>
      <c r="L23" s="643"/>
      <c r="M23" s="660"/>
      <c r="N23" s="682">
        <f t="shared" ref="N23:N24" si="3">SUM(M23)-L23</f>
        <v>0</v>
      </c>
    </row>
    <row r="24" spans="2:14" ht="14.25" x14ac:dyDescent="0.2">
      <c r="B24" s="667" t="s">
        <v>3</v>
      </c>
      <c r="C24" s="643">
        <v>29841.221139999991</v>
      </c>
      <c r="D24" s="644">
        <v>33670.706749999998</v>
      </c>
      <c r="E24" s="643">
        <v>10383.166715379259</v>
      </c>
      <c r="F24" s="660">
        <v>12347.160524385772</v>
      </c>
      <c r="G24" s="675">
        <f t="shared" si="2"/>
        <v>1963.9938090065134</v>
      </c>
      <c r="I24" s="667" t="s">
        <v>3</v>
      </c>
      <c r="J24" s="643"/>
      <c r="K24" s="644"/>
      <c r="L24" s="643"/>
      <c r="M24" s="660"/>
      <c r="N24" s="682">
        <f t="shared" si="3"/>
        <v>0</v>
      </c>
    </row>
    <row r="25" spans="2:14" ht="14.25" x14ac:dyDescent="0.2">
      <c r="B25" s="667" t="s">
        <v>4</v>
      </c>
      <c r="C25" s="643">
        <v>29865.348729999998</v>
      </c>
      <c r="D25" s="644">
        <v>29865.365469999997</v>
      </c>
      <c r="E25" s="643">
        <v>19243.137068298965</v>
      </c>
      <c r="F25" s="660">
        <v>22106.118038490007</v>
      </c>
      <c r="G25" s="675">
        <f t="shared" si="2"/>
        <v>2862.9809701910417</v>
      </c>
      <c r="I25" s="667" t="s">
        <v>4</v>
      </c>
      <c r="J25" s="643"/>
      <c r="K25" s="644"/>
      <c r="L25" s="643"/>
      <c r="M25" s="660"/>
      <c r="N25" s="682">
        <f>SUM(M25)-L25</f>
        <v>0</v>
      </c>
    </row>
    <row r="26" spans="2:14" ht="28.5" x14ac:dyDescent="0.2">
      <c r="B26" s="667" t="s">
        <v>56</v>
      </c>
      <c r="C26" s="643">
        <v>67173.105859999996</v>
      </c>
      <c r="D26" s="644">
        <v>60856.502309999989</v>
      </c>
      <c r="E26" s="643">
        <v>30190.15993707865</v>
      </c>
      <c r="F26" s="660">
        <v>34538.310051078312</v>
      </c>
      <c r="G26" s="675">
        <f t="shared" si="2"/>
        <v>4348.1501139996617</v>
      </c>
      <c r="I26" s="667" t="s">
        <v>56</v>
      </c>
      <c r="J26" s="643"/>
      <c r="K26" s="644"/>
      <c r="L26" s="643"/>
      <c r="M26" s="660"/>
      <c r="N26" s="682">
        <f t="shared" ref="N26:N30" si="4">SUM(M26)-L26</f>
        <v>0</v>
      </c>
    </row>
    <row r="27" spans="2:14" ht="28.5" x14ac:dyDescent="0.2">
      <c r="B27" s="668" t="s">
        <v>57</v>
      </c>
      <c r="C27" s="643">
        <v>54417.095179999997</v>
      </c>
      <c r="D27" s="644">
        <v>44378.20839</v>
      </c>
      <c r="E27" s="643">
        <v>29430.554451054624</v>
      </c>
      <c r="F27" s="660">
        <v>30333.703615857827</v>
      </c>
      <c r="G27" s="675">
        <f t="shared" si="2"/>
        <v>903.14916480320244</v>
      </c>
      <c r="I27" s="668" t="s">
        <v>57</v>
      </c>
      <c r="J27" s="643"/>
      <c r="K27" s="644"/>
      <c r="L27" s="643"/>
      <c r="M27" s="660"/>
      <c r="N27" s="683">
        <f t="shared" si="4"/>
        <v>0</v>
      </c>
    </row>
    <row r="28" spans="2:14" ht="14.25" x14ac:dyDescent="0.2">
      <c r="B28" s="667" t="s">
        <v>11</v>
      </c>
      <c r="C28" s="643">
        <v>10365.363069999999</v>
      </c>
      <c r="D28" s="644">
        <v>9519.6675599999999</v>
      </c>
      <c r="E28" s="643">
        <v>9824.9886919431283</v>
      </c>
      <c r="F28" s="660">
        <v>12881.823491204332</v>
      </c>
      <c r="G28" s="677">
        <f t="shared" si="2"/>
        <v>3056.8347992612034</v>
      </c>
      <c r="I28" s="667" t="s">
        <v>11</v>
      </c>
      <c r="J28" s="643"/>
      <c r="K28" s="644"/>
      <c r="L28" s="643"/>
      <c r="M28" s="660"/>
      <c r="N28" s="684">
        <f t="shared" si="4"/>
        <v>0</v>
      </c>
    </row>
    <row r="29" spans="2:14" ht="14.25" x14ac:dyDescent="0.2">
      <c r="B29" s="669" t="s">
        <v>331</v>
      </c>
      <c r="C29" s="645">
        <v>251704.30836</v>
      </c>
      <c r="D29" s="646">
        <v>242570.32265999995</v>
      </c>
      <c r="E29" s="645">
        <v>19103.241375227688</v>
      </c>
      <c r="F29" s="661">
        <v>20887.82594161715</v>
      </c>
      <c r="G29" s="678">
        <f t="shared" si="2"/>
        <v>1784.5845663894615</v>
      </c>
      <c r="I29" s="669" t="s">
        <v>331</v>
      </c>
      <c r="J29" s="645"/>
      <c r="K29" s="646"/>
      <c r="L29" s="645"/>
      <c r="M29" s="661"/>
      <c r="N29" s="646">
        <f t="shared" si="4"/>
        <v>0</v>
      </c>
    </row>
    <row r="30" spans="2:14" ht="29.25" thickBot="1" x14ac:dyDescent="0.25">
      <c r="B30" s="670" t="s">
        <v>332</v>
      </c>
      <c r="C30" s="571">
        <v>262069.67142999999</v>
      </c>
      <c r="D30" s="647">
        <v>252089.99021999995</v>
      </c>
      <c r="E30" s="571">
        <v>18415.408012788983</v>
      </c>
      <c r="F30" s="572">
        <v>20408.839881800512</v>
      </c>
      <c r="G30" s="679">
        <f t="shared" si="2"/>
        <v>1993.4318690115288</v>
      </c>
      <c r="I30" s="670" t="s">
        <v>332</v>
      </c>
      <c r="J30" s="571"/>
      <c r="K30" s="647"/>
      <c r="L30" s="571"/>
      <c r="M30" s="572"/>
      <c r="N30" s="647">
        <f t="shared" si="4"/>
        <v>0</v>
      </c>
    </row>
  </sheetData>
  <pageMargins left="0.7" right="0.7" top="0.75" bottom="0.75" header="0.3" footer="0.3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A5770-98D2-4E50-AEEB-9184A4E851F1}">
  <sheetPr>
    <tabColor theme="0"/>
  </sheetPr>
  <dimension ref="B1:U39"/>
  <sheetViews>
    <sheetView zoomScale="80" zoomScaleNormal="80" workbookViewId="0">
      <selection activeCell="B1" sqref="B1"/>
    </sheetView>
  </sheetViews>
  <sheetFormatPr defaultRowHeight="14.25" x14ac:dyDescent="0.2"/>
  <cols>
    <col min="1" max="1" width="1.7109375" style="44" customWidth="1"/>
    <col min="2" max="2" width="5.5703125" style="44" customWidth="1"/>
    <col min="3" max="3" width="66.42578125" style="44" customWidth="1"/>
    <col min="4" max="4" width="12.28515625" style="44" customWidth="1"/>
    <col min="5" max="5" width="10.42578125" style="44" customWidth="1"/>
    <col min="6" max="6" width="10.140625" style="44" customWidth="1"/>
    <col min="7" max="7" width="14.7109375" style="44" customWidth="1"/>
    <col min="8" max="8" width="14.42578125" style="44" customWidth="1"/>
    <col min="9" max="9" width="12.42578125" style="44" customWidth="1"/>
    <col min="10" max="10" width="15.140625" style="44" customWidth="1"/>
    <col min="11" max="11" width="12.7109375" style="44" customWidth="1"/>
    <col min="12" max="12" width="3.28515625" style="44" customWidth="1"/>
    <col min="13" max="13" width="8" style="44" customWidth="1"/>
    <col min="14" max="14" width="7.7109375" style="44" customWidth="1"/>
    <col min="15" max="15" width="3.28515625" style="44" customWidth="1"/>
    <col min="16" max="16" width="10.7109375" style="44" customWidth="1"/>
    <col min="17" max="17" width="10.42578125" style="44" customWidth="1"/>
    <col min="18" max="18" width="14.28515625" style="44" customWidth="1"/>
    <col min="19" max="19" width="9.85546875" style="44" customWidth="1"/>
    <col min="20" max="20" width="8.7109375" style="44" customWidth="1"/>
    <col min="21" max="21" width="9.28515625" style="44" customWidth="1"/>
    <col min="22" max="16384" width="9.140625" style="44"/>
  </cols>
  <sheetData>
    <row r="1" spans="2:21" x14ac:dyDescent="0.2">
      <c r="B1" s="96" t="s">
        <v>460</v>
      </c>
      <c r="D1" s="45"/>
      <c r="E1" s="45"/>
      <c r="F1" s="45"/>
      <c r="G1" s="382" t="s">
        <v>250</v>
      </c>
      <c r="H1" s="383" t="s">
        <v>248</v>
      </c>
      <c r="I1" s="45"/>
      <c r="J1" s="45"/>
      <c r="K1" s="45"/>
    </row>
    <row r="2" spans="2:21" x14ac:dyDescent="0.2">
      <c r="B2" s="363"/>
      <c r="C2" s="763" t="s">
        <v>296</v>
      </c>
      <c r="D2" s="358"/>
      <c r="E2" s="358"/>
      <c r="F2" s="358"/>
      <c r="G2" s="358"/>
      <c r="H2" s="358"/>
      <c r="I2" s="358"/>
      <c r="J2" s="358"/>
      <c r="K2" s="359"/>
    </row>
    <row r="3" spans="2:21" ht="66" customHeight="1" x14ac:dyDescent="0.2">
      <c r="B3" s="356"/>
      <c r="C3" s="764"/>
      <c r="D3" s="357" t="s">
        <v>102</v>
      </c>
      <c r="E3" s="357" t="s">
        <v>103</v>
      </c>
      <c r="F3" s="357" t="s">
        <v>104</v>
      </c>
      <c r="G3" s="367" t="s">
        <v>105</v>
      </c>
      <c r="H3" s="357" t="s">
        <v>227</v>
      </c>
      <c r="I3" s="357" t="s">
        <v>158</v>
      </c>
      <c r="J3" s="384" t="s">
        <v>177</v>
      </c>
      <c r="K3" s="360" t="s">
        <v>176</v>
      </c>
    </row>
    <row r="4" spans="2:21" ht="36" x14ac:dyDescent="0.2">
      <c r="B4" s="364" t="s">
        <v>100</v>
      </c>
      <c r="C4" s="764"/>
      <c r="D4" s="357"/>
      <c r="E4" s="357"/>
      <c r="F4" s="357"/>
      <c r="G4" s="357" t="s">
        <v>226</v>
      </c>
      <c r="H4" s="357" t="s">
        <v>315</v>
      </c>
      <c r="I4" s="357"/>
      <c r="J4" s="364"/>
      <c r="K4" s="357" t="s">
        <v>315</v>
      </c>
    </row>
    <row r="5" spans="2:21" x14ac:dyDescent="0.2">
      <c r="B5" s="365"/>
      <c r="C5" s="765"/>
      <c r="D5" s="361"/>
      <c r="E5" s="361"/>
      <c r="F5" s="361"/>
      <c r="G5" s="361"/>
      <c r="H5" s="361"/>
      <c r="I5" s="361"/>
      <c r="J5" s="361"/>
      <c r="K5" s="362"/>
      <c r="M5" s="60"/>
      <c r="N5" s="60"/>
      <c r="O5" s="61"/>
      <c r="P5" s="60"/>
      <c r="Q5" s="60"/>
      <c r="R5" s="61"/>
      <c r="S5" s="60"/>
      <c r="T5" s="60"/>
      <c r="U5" s="61"/>
    </row>
    <row r="6" spans="2:21" x14ac:dyDescent="0.2">
      <c r="B6" s="371">
        <v>1</v>
      </c>
      <c r="C6" s="373" t="s">
        <v>2</v>
      </c>
      <c r="D6" s="51">
        <f>SUM('z23'!E6)</f>
        <v>1677</v>
      </c>
      <c r="E6" s="51">
        <f>SUM('z23'!F6)</f>
        <v>1432</v>
      </c>
      <c r="F6" s="51">
        <f>SUM('z23'!G6)</f>
        <v>696</v>
      </c>
      <c r="G6" s="374">
        <f>SUM(F6/E6)*100</f>
        <v>48.603351955307261</v>
      </c>
      <c r="H6" s="374">
        <f t="shared" ref="H6:H14" si="0">SUM(J6/F6)</f>
        <v>10239.790445402299</v>
      </c>
      <c r="I6" s="400">
        <f>SUM('z23'!D6)</f>
        <v>7126.8941500000001</v>
      </c>
      <c r="J6" s="51">
        <f t="shared" ref="J6:J14" si="1">SUM(I6*1000)</f>
        <v>7126894.1500000004</v>
      </c>
      <c r="K6" s="370">
        <f t="shared" ref="K6:K14" si="2">SUM(J6/D6)</f>
        <v>4249.7878056052477</v>
      </c>
      <c r="M6" s="80"/>
      <c r="N6" s="80"/>
      <c r="O6" s="61"/>
      <c r="P6" s="81"/>
      <c r="Q6" s="60"/>
      <c r="R6" s="60"/>
      <c r="S6" s="62"/>
      <c r="T6" s="62"/>
      <c r="U6" s="62"/>
    </row>
    <row r="7" spans="2:21" x14ac:dyDescent="0.2">
      <c r="B7" s="125">
        <v>2</v>
      </c>
      <c r="C7" s="338" t="s">
        <v>1</v>
      </c>
      <c r="D7" s="46">
        <f>SUM('z23'!E5)</f>
        <v>8274</v>
      </c>
      <c r="E7" s="46">
        <f>SUM('z23'!F5)</f>
        <v>6714</v>
      </c>
      <c r="F7" s="46">
        <f>SUM('z23'!G5)</f>
        <v>5584</v>
      </c>
      <c r="G7" s="126">
        <f t="shared" ref="G7:G14" si="3">SUM(F7/E7)*100</f>
        <v>83.169496574322309</v>
      </c>
      <c r="H7" s="126">
        <f t="shared" si="0"/>
        <v>13448.820547994268</v>
      </c>
      <c r="I7" s="127">
        <f>SUM('z23'!D5)</f>
        <v>75098.213940000001</v>
      </c>
      <c r="J7" s="46">
        <f t="shared" si="1"/>
        <v>75098213.939999998</v>
      </c>
      <c r="K7" s="326">
        <f t="shared" si="2"/>
        <v>9076.4097099347346</v>
      </c>
      <c r="M7" s="80"/>
      <c r="N7" s="60"/>
      <c r="O7" s="61"/>
      <c r="P7" s="81"/>
      <c r="Q7" s="60"/>
      <c r="R7" s="60"/>
      <c r="S7" s="62"/>
      <c r="T7" s="62"/>
      <c r="U7" s="62"/>
    </row>
    <row r="8" spans="2:21" x14ac:dyDescent="0.2">
      <c r="B8" s="125">
        <v>3</v>
      </c>
      <c r="C8" s="338" t="s">
        <v>3</v>
      </c>
      <c r="D8" s="46">
        <f>SUM('z23'!E7)</f>
        <v>4740</v>
      </c>
      <c r="E8" s="46">
        <f>SUM('z23'!F7)</f>
        <v>3456</v>
      </c>
      <c r="F8" s="46">
        <f>SUM('z23'!G7)</f>
        <v>3240</v>
      </c>
      <c r="G8" s="126">
        <f t="shared" si="3"/>
        <v>93.75</v>
      </c>
      <c r="H8" s="126">
        <f t="shared" si="0"/>
        <v>9342.7785216049397</v>
      </c>
      <c r="I8" s="127">
        <f>SUM('z23'!D7)</f>
        <v>30270.602410000003</v>
      </c>
      <c r="J8" s="46">
        <f t="shared" si="1"/>
        <v>30270602.410000004</v>
      </c>
      <c r="K8" s="326">
        <f t="shared" si="2"/>
        <v>6386.2030400843887</v>
      </c>
      <c r="M8" s="80"/>
      <c r="N8" s="60"/>
      <c r="O8" s="61"/>
      <c r="P8" s="81"/>
      <c r="Q8" s="60"/>
      <c r="R8" s="60"/>
      <c r="S8" s="62"/>
      <c r="T8" s="62"/>
      <c r="U8" s="62"/>
    </row>
    <row r="9" spans="2:21" x14ac:dyDescent="0.2">
      <c r="B9" s="125">
        <v>4</v>
      </c>
      <c r="C9" s="338" t="s">
        <v>4</v>
      </c>
      <c r="D9" s="46">
        <f>SUM('z23'!E8)</f>
        <v>1986</v>
      </c>
      <c r="E9" s="46">
        <f>SUM('z23'!F8)</f>
        <v>1786</v>
      </c>
      <c r="F9" s="46">
        <f>SUM('z23'!G8)</f>
        <v>1711</v>
      </c>
      <c r="G9" s="126">
        <f t="shared" si="3"/>
        <v>95.800671892497206</v>
      </c>
      <c r="H9" s="126">
        <f t="shared" si="0"/>
        <v>18046.137539450614</v>
      </c>
      <c r="I9" s="127">
        <f>SUM('z23'!D8)</f>
        <v>30876.941329999998</v>
      </c>
      <c r="J9" s="46">
        <f t="shared" si="1"/>
        <v>30876941.329999998</v>
      </c>
      <c r="K9" s="326">
        <f t="shared" si="2"/>
        <v>15547.301777442093</v>
      </c>
      <c r="M9" s="80"/>
      <c r="N9" s="60"/>
      <c r="O9" s="61"/>
      <c r="P9" s="81"/>
      <c r="Q9" s="60"/>
      <c r="R9" s="60"/>
      <c r="S9" s="62"/>
      <c r="T9" s="62"/>
      <c r="U9" s="62"/>
    </row>
    <row r="10" spans="2:21" x14ac:dyDescent="0.2">
      <c r="B10" s="125">
        <v>5</v>
      </c>
      <c r="C10" s="338" t="s">
        <v>56</v>
      </c>
      <c r="D10" s="46">
        <f>SUM('z23'!E23)</f>
        <v>2215</v>
      </c>
      <c r="E10" s="46">
        <f>SUM('z23'!F23)</f>
        <v>2261</v>
      </c>
      <c r="F10" s="46">
        <f>SUM('z23'!G23)</f>
        <v>2176</v>
      </c>
      <c r="G10" s="126">
        <f t="shared" si="3"/>
        <v>96.240601503759393</v>
      </c>
      <c r="H10" s="126">
        <f t="shared" si="0"/>
        <v>33871.503772977936</v>
      </c>
      <c r="I10" s="127">
        <f>SUM('z23'!D23)</f>
        <v>73704.392209999991</v>
      </c>
      <c r="J10" s="46">
        <f t="shared" si="1"/>
        <v>73704392.209999993</v>
      </c>
      <c r="K10" s="326">
        <f t="shared" si="2"/>
        <v>33275.120636568849</v>
      </c>
      <c r="M10" s="80"/>
      <c r="N10" s="60"/>
      <c r="O10" s="61"/>
      <c r="P10" s="81"/>
      <c r="Q10" s="60"/>
      <c r="R10" s="60"/>
      <c r="S10" s="62"/>
      <c r="T10" s="62"/>
      <c r="U10" s="62"/>
    </row>
    <row r="11" spans="2:21" ht="15" customHeight="1" x14ac:dyDescent="0.2">
      <c r="B11" s="333">
        <v>6</v>
      </c>
      <c r="C11" s="339" t="s">
        <v>57</v>
      </c>
      <c r="D11" s="52">
        <f>SUM('z23'!E25)</f>
        <v>1535</v>
      </c>
      <c r="E11" s="52">
        <f>SUM('z23'!F25)</f>
        <v>1738</v>
      </c>
      <c r="F11" s="52">
        <f>SUM('z23'!G25)</f>
        <v>1553</v>
      </c>
      <c r="G11" s="354">
        <f t="shared" si="3"/>
        <v>89.355581127733032</v>
      </c>
      <c r="H11" s="354">
        <f t="shared" si="0"/>
        <v>38187.711609787511</v>
      </c>
      <c r="I11" s="351">
        <f>SUM('z23'!D25)</f>
        <v>59305.516130000011</v>
      </c>
      <c r="J11" s="52">
        <f t="shared" si="1"/>
        <v>59305516.13000001</v>
      </c>
      <c r="K11" s="329">
        <f t="shared" si="2"/>
        <v>38635.515394136812</v>
      </c>
      <c r="M11" s="80"/>
      <c r="N11" s="60"/>
      <c r="O11" s="61"/>
      <c r="P11" s="81"/>
      <c r="Q11" s="60"/>
      <c r="R11" s="60"/>
      <c r="S11" s="62"/>
      <c r="T11" s="62"/>
      <c r="U11" s="62"/>
    </row>
    <row r="12" spans="2:21" ht="15" customHeight="1" x14ac:dyDescent="0.2">
      <c r="B12" s="333">
        <v>7</v>
      </c>
      <c r="C12" s="339" t="s">
        <v>11</v>
      </c>
      <c r="D12" s="52">
        <f>SUM('z23'!E17)</f>
        <v>1119</v>
      </c>
      <c r="E12" s="52">
        <f>SUM('z23'!F17)</f>
        <v>1044</v>
      </c>
      <c r="F12" s="52">
        <f>SUM('z23'!G17)</f>
        <v>957</v>
      </c>
      <c r="G12" s="354">
        <f t="shared" si="3"/>
        <v>91.666666666666657</v>
      </c>
      <c r="H12" s="354">
        <f t="shared" si="0"/>
        <v>12619.046948798328</v>
      </c>
      <c r="I12" s="351">
        <f>SUM('z23'!D17)</f>
        <v>12076.42793</v>
      </c>
      <c r="J12" s="52">
        <f t="shared" si="1"/>
        <v>12076427.93</v>
      </c>
      <c r="K12" s="329">
        <f t="shared" si="2"/>
        <v>10792.160795352993</v>
      </c>
      <c r="M12" s="80"/>
      <c r="N12" s="80"/>
      <c r="O12" s="61"/>
      <c r="P12" s="81"/>
      <c r="Q12" s="60"/>
      <c r="R12" s="60"/>
      <c r="S12" s="62"/>
      <c r="T12" s="62"/>
      <c r="U12" s="62"/>
    </row>
    <row r="13" spans="2:21" x14ac:dyDescent="0.2">
      <c r="B13" s="376">
        <v>8</v>
      </c>
      <c r="C13" s="377" t="s">
        <v>288</v>
      </c>
      <c r="D13" s="378">
        <f>SUM(D6:D11)</f>
        <v>20427</v>
      </c>
      <c r="E13" s="378">
        <f>SUM(E6:E11)</f>
        <v>17387</v>
      </c>
      <c r="F13" s="378">
        <f>SUM(F6:F11)</f>
        <v>14960</v>
      </c>
      <c r="G13" s="379">
        <f>SUM(F13/E13)*100</f>
        <v>86.041295220567093</v>
      </c>
      <c r="H13" s="379">
        <f>SUM(J13/F13)</f>
        <v>18474.770064839573</v>
      </c>
      <c r="I13" s="392">
        <f>SUM(I6:I11)</f>
        <v>276382.56017000001</v>
      </c>
      <c r="J13" s="378">
        <f>SUM(I13*1000)</f>
        <v>276382560.17000002</v>
      </c>
      <c r="K13" s="381">
        <f t="shared" si="2"/>
        <v>13530.257021099525</v>
      </c>
      <c r="M13" s="80"/>
      <c r="N13" s="80"/>
      <c r="O13" s="61"/>
      <c r="P13" s="81"/>
      <c r="Q13" s="62"/>
      <c r="R13" s="60"/>
      <c r="S13" s="62"/>
      <c r="T13" s="62"/>
      <c r="U13" s="62"/>
    </row>
    <row r="14" spans="2:21" x14ac:dyDescent="0.2">
      <c r="B14" s="375">
        <v>9</v>
      </c>
      <c r="C14" s="373" t="s">
        <v>278</v>
      </c>
      <c r="D14" s="51">
        <f>SUM(D6:D12)</f>
        <v>21546</v>
      </c>
      <c r="E14" s="51">
        <f>SUM(E6:E12)</f>
        <v>18431</v>
      </c>
      <c r="F14" s="51">
        <f>SUM(F6:F12)</f>
        <v>15917</v>
      </c>
      <c r="G14" s="374">
        <f t="shared" si="3"/>
        <v>86.359937062557648</v>
      </c>
      <c r="H14" s="374">
        <f t="shared" si="0"/>
        <v>18122.698253439721</v>
      </c>
      <c r="I14" s="400">
        <f>SUM(I6:I12)</f>
        <v>288458.98810000002</v>
      </c>
      <c r="J14" s="51">
        <f t="shared" si="1"/>
        <v>288458988.10000002</v>
      </c>
      <c r="K14" s="370">
        <f t="shared" si="2"/>
        <v>13388.052914694144</v>
      </c>
      <c r="M14" s="61"/>
      <c r="N14" s="61"/>
      <c r="O14" s="61"/>
      <c r="P14" s="62"/>
      <c r="Q14" s="62"/>
      <c r="R14" s="62"/>
      <c r="S14" s="62"/>
      <c r="T14" s="62"/>
      <c r="U14" s="60"/>
    </row>
    <row r="16" spans="2:21" x14ac:dyDescent="0.2">
      <c r="D16" s="475">
        <v>67529.833333333328</v>
      </c>
      <c r="E16" s="207">
        <f>(J13/F13)</f>
        <v>18474.770064839573</v>
      </c>
      <c r="I16" s="49"/>
      <c r="J16" s="48"/>
    </row>
    <row r="17" spans="4:16" x14ac:dyDescent="0.2">
      <c r="D17" s="94">
        <f>SUM(D13)/D16*100</f>
        <v>30.248852976092049</v>
      </c>
      <c r="I17" s="49"/>
      <c r="J17" s="50"/>
      <c r="M17" s="99"/>
      <c r="N17" s="100"/>
      <c r="O17" s="100"/>
      <c r="P17" s="99"/>
    </row>
    <row r="18" spans="4:16" ht="12" customHeight="1" x14ac:dyDescent="0.2">
      <c r="D18" s="200">
        <f>SUM(D6:D11)</f>
        <v>20427</v>
      </c>
      <c r="I18" s="50"/>
      <c r="J18" s="49"/>
    </row>
    <row r="19" spans="4:16" x14ac:dyDescent="0.2">
      <c r="D19" s="200">
        <f>SUM(E6:E11)</f>
        <v>17387</v>
      </c>
      <c r="G19" s="47"/>
      <c r="I19" s="50"/>
      <c r="J19" s="49"/>
    </row>
    <row r="20" spans="4:16" x14ac:dyDescent="0.2">
      <c r="D20" s="94">
        <f>SUM(D19)/D18*100</f>
        <v>85.117736329367986</v>
      </c>
      <c r="G20" s="47"/>
      <c r="I20" s="50"/>
      <c r="J20" s="55"/>
    </row>
    <row r="21" spans="4:16" ht="16.5" customHeight="1" x14ac:dyDescent="0.2">
      <c r="D21" s="94">
        <f>SUM(D7)/D13*100</f>
        <v>40.505213687766187</v>
      </c>
      <c r="G21" s="47"/>
      <c r="I21" s="50"/>
      <c r="J21" s="55"/>
    </row>
    <row r="22" spans="4:16" ht="15" customHeight="1" x14ac:dyDescent="0.2">
      <c r="F22" s="47"/>
      <c r="G22" s="47"/>
      <c r="I22" s="50"/>
      <c r="J22" s="55"/>
    </row>
    <row r="23" spans="4:16" ht="15" customHeight="1" x14ac:dyDescent="0.2">
      <c r="G23" s="47"/>
      <c r="I23" s="50"/>
      <c r="J23" s="55"/>
    </row>
    <row r="24" spans="4:16" ht="15" customHeight="1" x14ac:dyDescent="0.2">
      <c r="G24" s="47"/>
      <c r="I24" s="50"/>
    </row>
    <row r="25" spans="4:16" ht="15.75" customHeight="1" x14ac:dyDescent="0.2">
      <c r="G25" s="47"/>
    </row>
    <row r="26" spans="4:16" ht="18" customHeight="1" x14ac:dyDescent="0.2"/>
    <row r="27" spans="4:16" ht="15" customHeight="1" x14ac:dyDescent="0.2"/>
    <row r="32" spans="4:16" ht="63" customHeight="1" x14ac:dyDescent="0.2"/>
    <row r="35" ht="15" customHeight="1" x14ac:dyDescent="0.2"/>
    <row r="36" ht="18.75" customHeight="1" x14ac:dyDescent="0.2"/>
    <row r="37" ht="15.75" customHeight="1" x14ac:dyDescent="0.2"/>
    <row r="38" ht="14.25" customHeight="1" x14ac:dyDescent="0.2"/>
    <row r="39" ht="12" customHeight="1" x14ac:dyDescent="0.2"/>
  </sheetData>
  <mergeCells count="1">
    <mergeCell ref="C2:C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33FCD-AB67-4722-87BF-D541BD1422C6}">
  <sheetPr>
    <tabColor theme="4" tint="0.79998168889431442"/>
  </sheetPr>
  <dimension ref="A1:G22"/>
  <sheetViews>
    <sheetView workbookViewId="0">
      <selection activeCell="B1" sqref="B1"/>
    </sheetView>
  </sheetViews>
  <sheetFormatPr defaultRowHeight="12" x14ac:dyDescent="0.2"/>
  <cols>
    <col min="1" max="1" width="2.140625" style="446" customWidth="1"/>
    <col min="2" max="2" width="86" style="55" customWidth="1"/>
    <col min="3" max="3" width="11.5703125" style="55" customWidth="1"/>
    <col min="4" max="4" width="6.140625" style="55" customWidth="1"/>
    <col min="5" max="5" width="1.7109375" style="447" customWidth="1"/>
    <col min="6" max="6" width="86.28515625" style="55" customWidth="1"/>
    <col min="7" max="7" width="10.42578125" style="55" customWidth="1"/>
    <col min="8" max="16384" width="9.140625" style="55"/>
  </cols>
  <sheetData>
    <row r="1" spans="2:7" ht="15.75" customHeight="1" x14ac:dyDescent="0.2">
      <c r="B1" s="461" t="s">
        <v>483</v>
      </c>
      <c r="F1" s="448" t="str">
        <f>T(B1)</f>
        <v>Efektywnosć kosztowa w 2025 r.</v>
      </c>
    </row>
    <row r="2" spans="2:7" ht="16.5" customHeight="1" x14ac:dyDescent="0.2">
      <c r="B2" s="438" t="s">
        <v>54</v>
      </c>
      <c r="C2" s="438" t="s">
        <v>65</v>
      </c>
      <c r="D2" s="438" t="s">
        <v>67</v>
      </c>
      <c r="E2" s="449"/>
      <c r="F2" s="438" t="s">
        <v>54</v>
      </c>
      <c r="G2" s="438" t="s">
        <v>65</v>
      </c>
    </row>
    <row r="3" spans="2:7" x14ac:dyDescent="0.2">
      <c r="B3" s="439" t="s">
        <v>55</v>
      </c>
      <c r="C3" s="439" t="s">
        <v>66</v>
      </c>
      <c r="D3" s="439"/>
      <c r="E3" s="449"/>
      <c r="F3" s="439" t="s">
        <v>55</v>
      </c>
      <c r="G3" s="439" t="s">
        <v>66</v>
      </c>
    </row>
    <row r="4" spans="2:7" x14ac:dyDescent="0.2">
      <c r="B4" s="450"/>
      <c r="C4" s="440" t="s">
        <v>64</v>
      </c>
      <c r="D4" s="440"/>
      <c r="E4" s="451"/>
      <c r="F4" s="440"/>
      <c r="G4" s="440" t="s">
        <v>64</v>
      </c>
    </row>
    <row r="5" spans="2:7" x14ac:dyDescent="0.2">
      <c r="B5" s="452" t="str">
        <f>T(P.!L26)</f>
        <v>staże</v>
      </c>
      <c r="C5" s="442">
        <f>SUM(P.25!L50)</f>
        <v>18392.965695890409</v>
      </c>
      <c r="D5" s="453">
        <f>RANK(C5,C5:C13)</f>
        <v>6</v>
      </c>
      <c r="E5" s="454"/>
      <c r="F5" s="441" t="str">
        <f>INDEX(B5:C13,MATCH(1,D5:D13,0),1)</f>
        <v>dof. działaln.</v>
      </c>
      <c r="G5" s="442">
        <f>INDEX(B5:C13,MATCH(1,D5:D13,0),2)</f>
        <v>34538.310051078319</v>
      </c>
    </row>
    <row r="6" spans="2:7" ht="12.75" customHeight="1" x14ac:dyDescent="0.2">
      <c r="B6" s="455" t="str">
        <f>T(P.!M26)</f>
        <v>szkolenia</v>
      </c>
      <c r="C6" s="442">
        <f>SUM(P.25!M50)</f>
        <v>10098.81053030303</v>
      </c>
      <c r="D6" s="456">
        <f>RANK(C6,C5:C13)</f>
        <v>9</v>
      </c>
      <c r="E6" s="457"/>
      <c r="F6" s="443" t="str">
        <f>INDEX(B5:C13,MATCH(2,D5:D13,0),1)</f>
        <v>refund. koszt.</v>
      </c>
      <c r="G6" s="442">
        <f>INDEX(B5:C13,MATCH(2,D5:D13,0),2)</f>
        <v>30333.703615857823</v>
      </c>
    </row>
    <row r="7" spans="2:7" ht="12" customHeight="1" x14ac:dyDescent="0.2">
      <c r="B7" s="455" t="str">
        <f>T(P.!N26)</f>
        <v>prace interw.</v>
      </c>
      <c r="C7" s="442">
        <f>SUM(P.25!N50)</f>
        <v>12347.160524385772</v>
      </c>
      <c r="D7" s="456">
        <f>RANK(C7,C5:C13)</f>
        <v>8</v>
      </c>
      <c r="E7" s="457"/>
      <c r="F7" s="444" t="str">
        <f>INDEX(B5:C13,MATCH(3,D5:D13,0),1)</f>
        <v>roboty publ.</v>
      </c>
      <c r="G7" s="445">
        <f>INDEX(B5:C13,MATCH(3,D5:D13,0),2)</f>
        <v>22106.118038490007</v>
      </c>
    </row>
    <row r="8" spans="2:7" ht="12.75" customHeight="1" x14ac:dyDescent="0.2">
      <c r="B8" s="455" t="str">
        <f>T(P.!O26)</f>
        <v>roboty publ.</v>
      </c>
      <c r="C8" s="442">
        <f>SUM(P.25!O50)</f>
        <v>22106.118038490007</v>
      </c>
      <c r="D8" s="456">
        <f>RANK(C8,C5:C13)</f>
        <v>3</v>
      </c>
      <c r="E8" s="457"/>
      <c r="F8" s="444" t="str">
        <f>INDEX(B5:C13,MATCH(4,D5:D13,0),1)</f>
        <v>6 Podst. form - efektywność  kosztowa tj. koszt ponownego zatrud.,  w zł. średni na 1 osobę zatr. po zak. prog.</v>
      </c>
      <c r="G8" s="445">
        <f>INDEX(B5:C13,MATCH(4,D5:D13,0),2)</f>
        <v>20887.82594161715</v>
      </c>
    </row>
    <row r="9" spans="2:7" ht="12.75" customHeight="1" x14ac:dyDescent="0.2">
      <c r="B9" s="455" t="str">
        <f>T(P.!P26)</f>
        <v>dof. działaln.</v>
      </c>
      <c r="C9" s="442">
        <f>SUM(P.25!P50)</f>
        <v>34538.310051078319</v>
      </c>
      <c r="D9" s="456">
        <f>RANK(C9,C5:C13)</f>
        <v>1</v>
      </c>
      <c r="E9" s="457"/>
      <c r="F9" s="443" t="str">
        <f>INDEX(B5:C13,MATCH(5,D5:D13,0),1)</f>
        <v>6 Podst. form - efektywność  kosztowa tj. koszt ponownego zatrud.,  w zł. średni na 1 osobę zatr. po zak. prog.</v>
      </c>
      <c r="G9" s="442">
        <f>INDEX(B5:C13,MATCH(5,D5:D13,0),2)</f>
        <v>20408.839881800515</v>
      </c>
    </row>
    <row r="10" spans="2:7" ht="14.25" customHeight="1" x14ac:dyDescent="0.2">
      <c r="B10" s="455" t="str">
        <f>T(P.!Q26)</f>
        <v>refund. koszt.</v>
      </c>
      <c r="C10" s="442">
        <f>SUM(P.25!Q50)</f>
        <v>30333.703615857823</v>
      </c>
      <c r="D10" s="456">
        <f>RANK(C10,C5:C13)</f>
        <v>2</v>
      </c>
      <c r="E10" s="457"/>
      <c r="F10" s="443" t="str">
        <f>INDEX(B5:C13,MATCH(6,D5:D13,0),1)</f>
        <v>staże</v>
      </c>
      <c r="G10" s="442">
        <f>INDEX(B5:C13,MATCH(6,D5:D13,0),2)</f>
        <v>18392.965695890409</v>
      </c>
    </row>
    <row r="11" spans="2:7" ht="15.75" customHeight="1" x14ac:dyDescent="0.2">
      <c r="B11" s="455" t="str">
        <f>T(P.!R26)</f>
        <v>bon na zas.</v>
      </c>
      <c r="C11" s="442">
        <f>SUM(P.25!R50)</f>
        <v>12881.823491204332</v>
      </c>
      <c r="D11" s="456">
        <f>RANK(C11,C5:C13)</f>
        <v>7</v>
      </c>
      <c r="E11" s="457"/>
      <c r="F11" s="443" t="str">
        <f>INDEX(B5:C13,MATCH(7,D5:D13,0),1)</f>
        <v>bon na zas.</v>
      </c>
      <c r="G11" s="442">
        <f>INDEX(B5:C13,MATCH(7,D5:D13,0),2)</f>
        <v>12881.823491204332</v>
      </c>
    </row>
    <row r="12" spans="2:7" ht="13.5" customHeight="1" x14ac:dyDescent="0.2">
      <c r="B12" s="458" t="str">
        <f>T(P.!K25)</f>
        <v>6 Podst. form - efektywność  kosztowa tj. koszt ponownego zatrud.,  w zł. średni na 1 osobę zatr. po zak. prog.</v>
      </c>
      <c r="C12" s="445">
        <f>SUM(P.25!AD24+P.25!AE24+P.25!AF24+P.25!AG24+P.25!AH24+P.25!AI24+P.25!AJ24)/(P.25!U24+P.25!V24+P.25!W24+P.25!X24+P.25!Y24+P.25!Z24+P.25!AA24)</f>
        <v>20408.839881800515</v>
      </c>
      <c r="D12" s="459">
        <f>RANK(C12,C5:C13)</f>
        <v>5</v>
      </c>
      <c r="E12" s="457"/>
      <c r="F12" s="443" t="str">
        <f>INDEX(B5:C13,MATCH(8,D5:D13,0),1)</f>
        <v>prace interw.</v>
      </c>
      <c r="G12" s="442">
        <f>INDEX(B5:C13,MATCH(8,D5:D13,0),2)</f>
        <v>12347.160524385772</v>
      </c>
    </row>
    <row r="13" spans="2:7" ht="15" customHeight="1" x14ac:dyDescent="0.2">
      <c r="B13" s="460" t="str">
        <f>T(P.!K51)</f>
        <v>6 Podst. form - efektywność  kosztowa tj. koszt ponownego zatrud.,  w zł. średni na 1 osobę zatr. po zak. prog.</v>
      </c>
      <c r="C13" s="445">
        <f>SUM(P.25!AD24+P.25!AE24+P.25!AF24+P.25!AG24+P.25!AH24+P.25!AI24)/(P.25!U24+P.25!V24+P.25!W24+P.25!X24+P.25!Y24+P.25!Z24)</f>
        <v>20887.82594161715</v>
      </c>
      <c r="D13" s="459">
        <f>RANK(C13,C5:C13)</f>
        <v>4</v>
      </c>
    </row>
    <row r="21" ht="33" customHeight="1" x14ac:dyDescent="0.2"/>
    <row r="22" ht="33" customHeight="1" x14ac:dyDescent="0.2"/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323A6-C136-4B23-9AF6-AC75A0908F88}">
  <sheetPr>
    <tabColor theme="0"/>
  </sheetPr>
  <dimension ref="A1:O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2" width="13.42578125" style="8" customWidth="1"/>
    <col min="3" max="3" width="14" style="8" customWidth="1"/>
    <col min="4" max="4" width="12.7109375" style="8" customWidth="1"/>
    <col min="5" max="5" width="12.85546875" style="8" customWidth="1"/>
    <col min="6" max="6" width="12.28515625" style="8" customWidth="1"/>
    <col min="7" max="7" width="13.140625" style="8" customWidth="1"/>
    <col min="8" max="9" width="12.140625" style="8" customWidth="1"/>
    <col min="10" max="10" width="11.5703125" style="5" customWidth="1"/>
    <col min="11" max="11" width="6.140625" style="5" customWidth="1"/>
    <col min="12" max="12" width="14.42578125" style="5" customWidth="1"/>
    <col min="13" max="13" width="11.5703125" style="8" customWidth="1"/>
    <col min="14" max="16384" width="9.140625" style="8"/>
  </cols>
  <sheetData>
    <row r="1" spans="1:13" x14ac:dyDescent="0.25">
      <c r="A1" s="8" t="s">
        <v>148</v>
      </c>
      <c r="B1" s="471">
        <v>2025</v>
      </c>
      <c r="C1" s="8" t="s">
        <v>314</v>
      </c>
    </row>
    <row r="2" spans="1:13" x14ac:dyDescent="0.25">
      <c r="A2" s="8" t="s">
        <v>299</v>
      </c>
    </row>
    <row r="3" spans="1:13" x14ac:dyDescent="0.25">
      <c r="A3" s="294">
        <f>SUM(P.!K26)</f>
        <v>0</v>
      </c>
      <c r="B3" s="295" t="s">
        <v>95</v>
      </c>
      <c r="C3" s="294" t="s">
        <v>127</v>
      </c>
      <c r="D3" s="294" t="s">
        <v>126</v>
      </c>
      <c r="E3" s="294" t="s">
        <v>140</v>
      </c>
      <c r="F3" s="294" t="s">
        <v>130</v>
      </c>
      <c r="G3" s="294" t="s">
        <v>141</v>
      </c>
      <c r="H3" s="294" t="s">
        <v>139</v>
      </c>
      <c r="I3" s="294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296">
        <f>SUM(P.25!L27)</f>
        <v>17215.242705882352</v>
      </c>
      <c r="D4" s="1">
        <f>SUM(P.25!M27)</f>
        <v>20668.188571428571</v>
      </c>
      <c r="E4" s="1">
        <f>SUM(P.25!N27)</f>
        <v>18468.831372549019</v>
      </c>
      <c r="F4" s="1">
        <f>SUMIF(P.25!O27,"&gt;1",(P.25!O27))</f>
        <v>32760.230833333335</v>
      </c>
      <c r="G4" s="1">
        <f>SUMIF(P.25!P27,"&gt;1",(P.25!P27))</f>
        <v>30990.075000000001</v>
      </c>
      <c r="H4" s="1">
        <f>SUMIF(P.25!Q27,"&gt;1",(P.25!Q27))</f>
        <v>8284.1247368421045</v>
      </c>
      <c r="I4" s="1">
        <f>SUMIF(P.25!R27,"&gt;1",(P.25!R27))</f>
        <v>12025</v>
      </c>
      <c r="J4" s="2">
        <v>1801</v>
      </c>
      <c r="K4" s="12">
        <f>RANK(C4,$C$4:$C$25,1)+COUNTIF($C$4:C4,C4)-1</f>
        <v>7</v>
      </c>
      <c r="L4" s="2" t="str">
        <f>INDEX(B4:I25,MATCH(1,K4:K25,0),1)</f>
        <v>Lubaczów</v>
      </c>
      <c r="M4" s="1">
        <f>INDEX(B4:I25,MATCH(1,K4:K25,0),2)</f>
        <v>14347.0075</v>
      </c>
    </row>
    <row r="5" spans="1:13" x14ac:dyDescent="0.25">
      <c r="A5" s="9">
        <v>2</v>
      </c>
      <c r="B5" s="2" t="s">
        <v>70</v>
      </c>
      <c r="C5" s="296">
        <f>SUM(P.25!L28)</f>
        <v>19766.191826923077</v>
      </c>
      <c r="D5" s="1">
        <f>SUM(P.25!M28)</f>
        <v>9153.7711764705873</v>
      </c>
      <c r="E5" s="1">
        <f>SUM(P.25!N28)</f>
        <v>9294.6093382352956</v>
      </c>
      <c r="F5" s="1">
        <f>SUMIF(P.25!O28,"&gt;1",(P.25!O28))</f>
        <v>21926.968000000001</v>
      </c>
      <c r="G5" s="1">
        <f>SUM(P.25!P28)</f>
        <v>33882.403969465646</v>
      </c>
      <c r="H5" s="1">
        <f>SUM(P.25!Q28)</f>
        <v>49516.699574468083</v>
      </c>
      <c r="I5" s="1">
        <f>SUM(P.25!R28)</f>
        <v>17660.377358490565</v>
      </c>
      <c r="J5" s="2">
        <v>1802</v>
      </c>
      <c r="K5" s="12">
        <f>RANK(C5,$C$4:$C$25,1)+COUNTIF($C$4:C5,C5)-1</f>
        <v>15</v>
      </c>
      <c r="L5" s="11" t="str">
        <f>INDEX(B4:I25,MATCH(2,K4:K25,0),1)</f>
        <v>Tarnobrzeg</v>
      </c>
      <c r="M5" s="1">
        <f>INDEX(B4:I25,MATCH(2,K4:K25,0),2)</f>
        <v>15039.525506329113</v>
      </c>
    </row>
    <row r="6" spans="1:13" x14ac:dyDescent="0.25">
      <c r="A6" s="9">
        <v>3</v>
      </c>
      <c r="B6" s="2" t="s">
        <v>71</v>
      </c>
      <c r="C6" s="296">
        <f>SUM(P.25!L29)</f>
        <v>24909.382870370373</v>
      </c>
      <c r="D6" s="1">
        <f>SUM(P.25!M29)</f>
        <v>7253.38</v>
      </c>
      <c r="E6" s="1">
        <f>SUM(P.25!N29)</f>
        <v>9652.3577173913054</v>
      </c>
      <c r="F6" s="1">
        <f>SUMIF(P.25!O29,"&gt;1",(P.25!O29))</f>
        <v>11656.7925</v>
      </c>
      <c r="G6" s="1">
        <f>SUM(P.25!P29)</f>
        <v>24340.21305882353</v>
      </c>
      <c r="H6" s="1">
        <f>SUM(P.25!Q29)</f>
        <v>34076.923076923078</v>
      </c>
      <c r="I6" s="1">
        <f>SUM(P.25!R29)</f>
        <v>8275.8620689655181</v>
      </c>
      <c r="J6" s="2">
        <v>1803</v>
      </c>
      <c r="K6" s="12">
        <f>RANK(C6,$C$4:$C$25,1)+COUNTIF($C$4:C6,C6)-1</f>
        <v>22</v>
      </c>
      <c r="L6" s="11" t="str">
        <f>INDEX(B4:I25,MATCH(3,K4:K25,0),1)</f>
        <v>Strzyżów</v>
      </c>
      <c r="M6" s="1">
        <f>INDEX(B4:I25,MATCH(3,K4:K25,0),2)</f>
        <v>15305.461784232366</v>
      </c>
    </row>
    <row r="7" spans="1:13" x14ac:dyDescent="0.25">
      <c r="A7" s="9">
        <v>4</v>
      </c>
      <c r="B7" s="2" t="s">
        <v>72</v>
      </c>
      <c r="C7" s="296">
        <f>SUM(P.25!L30)</f>
        <v>16915.526422413794</v>
      </c>
      <c r="D7" s="1">
        <f>SUM(P.25!M30)</f>
        <v>13146.98625</v>
      </c>
      <c r="E7" s="1">
        <f>SUM(P.25!N30)</f>
        <v>7179.6699200000003</v>
      </c>
      <c r="F7" s="1">
        <f>SUMIF(P.25!O30,"&gt;1",(P.25!O30))</f>
        <v>25593.756434782612</v>
      </c>
      <c r="G7" s="1">
        <f>SUM(P.25!P30)</f>
        <v>25844.193548387098</v>
      </c>
      <c r="H7" s="1">
        <f>SUM(P.25!Q30)</f>
        <v>18706.133739837402</v>
      </c>
      <c r="I7" s="1">
        <f>SUM(P.25!R30)</f>
        <v>40426.620000000003</v>
      </c>
      <c r="J7" s="2">
        <v>1804</v>
      </c>
      <c r="K7" s="12">
        <f>RANK(C7,$C$4:$C$25,1)+COUNTIF($C$4:C7,C7)-1</f>
        <v>6</v>
      </c>
      <c r="L7" s="11" t="str">
        <f>INDEX(B4:I25,MATCH(4,K4:K25,0),1)</f>
        <v>Rzeszów</v>
      </c>
      <c r="M7" s="1">
        <f>INDEX(B4:I25,MATCH(4,K4:K25,0),2)</f>
        <v>15376.536067796609</v>
      </c>
    </row>
    <row r="8" spans="1:13" x14ac:dyDescent="0.25">
      <c r="A8" s="9">
        <v>5</v>
      </c>
      <c r="B8" s="2" t="s">
        <v>73</v>
      </c>
      <c r="C8" s="296">
        <f>SUM(P.25!L31)</f>
        <v>19743.800962566846</v>
      </c>
      <c r="D8" s="1">
        <f>SUM(P.25!M31)</f>
        <v>17613.050666666666</v>
      </c>
      <c r="E8" s="1">
        <f>SUM(P.25!N31)</f>
        <v>9960.3185333333331</v>
      </c>
      <c r="F8" s="1">
        <f>SUMIF(P.25!O31,"&gt;1",(P.25!O31))</f>
        <v>21041.448360655741</v>
      </c>
      <c r="G8" s="1">
        <f>SUM(P.25!P31)</f>
        <v>36474.390471698112</v>
      </c>
      <c r="H8" s="1">
        <f>SUM(P.25!Q31)</f>
        <v>39148.718687500004</v>
      </c>
      <c r="I8" s="1">
        <f>SUM(P.25!R31)</f>
        <v>16238.344054054054</v>
      </c>
      <c r="J8" s="2">
        <v>1805</v>
      </c>
      <c r="K8" s="12">
        <f>RANK(C8,$C$4:$C$25,1)+COUNTIF($C$4:C8,C8)-1</f>
        <v>14</v>
      </c>
      <c r="L8" s="11" t="str">
        <f>INDEX(B4:I25,MATCH(5,K4:K25,0),1)</f>
        <v>Krosno</v>
      </c>
      <c r="M8" s="1">
        <f>INDEX(B4:I25,MATCH(5,K4:K25,0),2)</f>
        <v>16338.483195266273</v>
      </c>
    </row>
    <row r="9" spans="1:13" x14ac:dyDescent="0.25">
      <c r="A9" s="9">
        <v>6</v>
      </c>
      <c r="B9" s="2" t="s">
        <v>74</v>
      </c>
      <c r="C9" s="296">
        <f>SUM(P.25!L32)</f>
        <v>21030.050721649484</v>
      </c>
      <c r="D9" s="1">
        <f>SUM(P.25!M32)</f>
        <v>17478.610999999997</v>
      </c>
      <c r="E9" s="1">
        <f>SUM(P.25!N32)</f>
        <v>9612.0897777777773</v>
      </c>
      <c r="F9" s="1">
        <f>SUMIF(P.25!O32,"&gt;1",(P.25!O32))</f>
        <v>26057.456249999999</v>
      </c>
      <c r="G9" s="1">
        <f>SUM(P.25!P32)</f>
        <v>58452.892368421053</v>
      </c>
      <c r="H9" s="1">
        <f>SUM(P.25!Q32)</f>
        <v>19882.358285714286</v>
      </c>
      <c r="I9" s="562">
        <f>SUMIF(P.25!R32,"&gt;1",(P.25!R32))</f>
        <v>0</v>
      </c>
      <c r="J9" s="2">
        <v>1806</v>
      </c>
      <c r="K9" s="12">
        <f>RANK(C9,$C$4:$C$25,1)+COUNTIF($C$4:C9,C9)-1</f>
        <v>17</v>
      </c>
      <c r="L9" s="11" t="str">
        <f>INDEX(B4:I25,MATCH(6,K4:K25,0),1)</f>
        <v>Jarosław</v>
      </c>
      <c r="M9" s="1">
        <f>INDEX(B4:I25,MATCH(6,K4:K25,0),2)</f>
        <v>16915.526422413794</v>
      </c>
    </row>
    <row r="10" spans="1:13" x14ac:dyDescent="0.25">
      <c r="A10" s="299">
        <v>7</v>
      </c>
      <c r="B10" s="298" t="s">
        <v>75</v>
      </c>
      <c r="C10" s="297">
        <f>SUM(P.25!L33)</f>
        <v>16338.483195266273</v>
      </c>
      <c r="D10" s="95">
        <f>SUM(P.25!M33)</f>
        <v>13560.481428571427</v>
      </c>
      <c r="E10" s="95">
        <f>SUM(P.25!N33)</f>
        <v>10450.554743589744</v>
      </c>
      <c r="F10" s="95">
        <f>SUMIF(P.25!O33,"&gt;1",(P.25!O33))</f>
        <v>14616.336666666668</v>
      </c>
      <c r="G10" s="95">
        <f>SUM(P.25!P33)</f>
        <v>36613.509012345676</v>
      </c>
      <c r="H10" s="95">
        <f>SUM(P.25!Q33)</f>
        <v>33816.54367088608</v>
      </c>
      <c r="I10" s="95">
        <f>SUM(P.25!R33)</f>
        <v>9939.3939393939399</v>
      </c>
      <c r="J10" s="298" t="s">
        <v>134</v>
      </c>
      <c r="K10" s="12">
        <f>RANK(C10,$C$4:$C$25,1)+COUNTIF($C$4:C10,C10)-1</f>
        <v>5</v>
      </c>
      <c r="L10" s="11" t="str">
        <f>INDEX(B4:I25,MATCH(7,K4:K25,0),1)</f>
        <v>Ustrzyki Dolne</v>
      </c>
      <c r="M10" s="1">
        <f>INDEX(B4:I25,MATCH(7,K4:K25,0),2)</f>
        <v>17215.242705882352</v>
      </c>
    </row>
    <row r="11" spans="1:13" x14ac:dyDescent="0.25">
      <c r="A11" s="9">
        <v>8</v>
      </c>
      <c r="B11" s="2" t="s">
        <v>76</v>
      </c>
      <c r="C11" s="296">
        <f>SUM(P.25!L35)</f>
        <v>17831.99090909091</v>
      </c>
      <c r="D11" s="1">
        <f>SUM(P.25!M35)</f>
        <v>25349.94875</v>
      </c>
      <c r="E11" s="1">
        <f>SUM(P.25!N35)</f>
        <v>9857.1518309859166</v>
      </c>
      <c r="F11" s="1">
        <f>SUMIF(P.25!O35,"&gt;1",(P.25!O35))</f>
        <v>12182.592554744526</v>
      </c>
      <c r="G11" s="1">
        <f>SUM(P.25!P35)</f>
        <v>33798.138983050849</v>
      </c>
      <c r="H11" s="1">
        <f>SUM(P.25!Q35)</f>
        <v>15035.338666666667</v>
      </c>
      <c r="I11" s="1">
        <f>SUM(P.25!R35)</f>
        <v>10476.190476190477</v>
      </c>
      <c r="J11" s="2">
        <v>1808</v>
      </c>
      <c r="K11" s="12">
        <f>RANK(C11,$C$4:$C$25,1)+COUNTIF($C$4:C11,C11)-1</f>
        <v>10</v>
      </c>
      <c r="L11" s="11" t="str">
        <f>INDEX(B4:I25,MATCH(8,K4:K25,0),1)</f>
        <v>Mielec</v>
      </c>
      <c r="M11" s="1">
        <f>INDEX(B4:I25,MATCH(8,K4:K25,0),2)</f>
        <v>17626.840360824743</v>
      </c>
    </row>
    <row r="12" spans="1:13" x14ac:dyDescent="0.25">
      <c r="A12" s="9">
        <v>9</v>
      </c>
      <c r="B12" s="2" t="s">
        <v>77</v>
      </c>
      <c r="C12" s="296">
        <f>SUM(P.25!L36)</f>
        <v>14347.0075</v>
      </c>
      <c r="D12" s="1">
        <f>SUM(P.25!M36)</f>
        <v>9785.2900000000009</v>
      </c>
      <c r="E12" s="1">
        <f>SUM(P.25!N36)</f>
        <v>11910.110540540541</v>
      </c>
      <c r="F12" s="1">
        <f>SUMIF(P.25!O36,"&gt;1",(P.25!O36))</f>
        <v>22177.651249999999</v>
      </c>
      <c r="G12" s="1">
        <f>SUM(P.25!P36)</f>
        <v>27639.703703703704</v>
      </c>
      <c r="H12" s="296">
        <f>SUMIF(P.25!Q36,"&gt;1",(P.25!Q36))</f>
        <v>0</v>
      </c>
      <c r="I12" s="1">
        <f>SUMIF(P.25!R36,"&gt;1",(P.25!R36))</f>
        <v>10320.76923076923</v>
      </c>
      <c r="J12" s="2">
        <v>1809</v>
      </c>
      <c r="K12" s="12">
        <f>RANK(C12,$C$4:$C$25,1)+COUNTIF($C$4:C12,C12)-1</f>
        <v>1</v>
      </c>
      <c r="L12" s="11" t="str">
        <f>INDEX(B4:I25,MATCH(9,K4:K25,0),1)</f>
        <v>Stalowa Wola</v>
      </c>
      <c r="M12" s="1">
        <f>INDEX(B4:I25,MATCH(9,K4:K25,0),2)</f>
        <v>17818.265393939393</v>
      </c>
    </row>
    <row r="13" spans="1:13" x14ac:dyDescent="0.25">
      <c r="A13" s="9">
        <v>10</v>
      </c>
      <c r="B13" s="2" t="s">
        <v>78</v>
      </c>
      <c r="C13" s="296">
        <f>SUM(P.25!L37)</f>
        <v>21100.202897196261</v>
      </c>
      <c r="D13" s="1">
        <f>SUM(P.25!M37)</f>
        <v>6174.4281250000004</v>
      </c>
      <c r="E13" s="1">
        <f>SUM(P.25!N37)</f>
        <v>14383.268333333333</v>
      </c>
      <c r="F13" s="1">
        <f>SUMIF(P.25!O37,"&gt;1",(P.25!O37))</f>
        <v>19806.177179487182</v>
      </c>
      <c r="G13" s="1">
        <f>SUM(P.25!P37)</f>
        <v>30002.293043478257</v>
      </c>
      <c r="H13" s="1">
        <f>SUM(P.25!Q37)</f>
        <v>35444.152033898303</v>
      </c>
      <c r="I13" s="1">
        <f>SUM(P.25!R37)</f>
        <v>11956.521739130434</v>
      </c>
      <c r="J13" s="2">
        <v>1810</v>
      </c>
      <c r="K13" s="12">
        <f>RANK(C13,$C$4:$C$25,1)+COUNTIF($C$4:C13,C13)-1</f>
        <v>18</v>
      </c>
      <c r="L13" s="11" t="str">
        <f>INDEX(B4:I25,MATCH(10,K4:K25,0),1)</f>
        <v>Leżajsk</v>
      </c>
      <c r="M13" s="1">
        <f>INDEX(B4:I25,MATCH(10,K4:K25,0),2)</f>
        <v>17831.99090909091</v>
      </c>
    </row>
    <row r="14" spans="1:13" x14ac:dyDescent="0.25">
      <c r="A14" s="9">
        <v>11</v>
      </c>
      <c r="B14" s="2" t="s">
        <v>79</v>
      </c>
      <c r="C14" s="296">
        <f>SUM(P.25!L38)</f>
        <v>17626.840360824743</v>
      </c>
      <c r="D14" s="1">
        <f>SUM(P.25!M38)</f>
        <v>11511.252500000001</v>
      </c>
      <c r="E14" s="1">
        <f>SUM(P.25!N38)</f>
        <v>11450.537990196079</v>
      </c>
      <c r="F14" s="1">
        <f>SUMIF(P.25!O38,"&gt;1",(P.25!O38))</f>
        <v>11067.973333333333</v>
      </c>
      <c r="G14" s="1">
        <f>SUM(P.25!P38)</f>
        <v>32977.792535211265</v>
      </c>
      <c r="H14" s="1">
        <f>SUM(P.25!Q38)</f>
        <v>32376.172500000004</v>
      </c>
      <c r="I14" s="1">
        <f>SUM(P.25!R38)</f>
        <v>14000</v>
      </c>
      <c r="J14" s="2">
        <v>1811</v>
      </c>
      <c r="K14" s="56">
        <f>RANK(C14,$C$4:$C$25,1)+COUNTIF($C$4:C14,C14)-1</f>
        <v>8</v>
      </c>
      <c r="L14" s="300" t="str">
        <f>INDEX(B4:I25,MATCH(11,K4:K25,0),1)</f>
        <v>Podkarpacie</v>
      </c>
      <c r="M14" s="296">
        <f>INDEX(B4:I25,MATCH(11,K4:K25,0),2)</f>
        <v>18392.965695890409</v>
      </c>
    </row>
    <row r="15" spans="1:13" x14ac:dyDescent="0.25">
      <c r="A15" s="9">
        <v>12</v>
      </c>
      <c r="B15" s="2" t="s">
        <v>80</v>
      </c>
      <c r="C15" s="296">
        <f>SUM(P.25!L39)</f>
        <v>22950.568740740739</v>
      </c>
      <c r="D15" s="1">
        <f>SUM(P.25!M39)</f>
        <v>20913.46125</v>
      </c>
      <c r="E15" s="1">
        <f>SUM(P.25!N39)</f>
        <v>11318.09407079646</v>
      </c>
      <c r="F15" s="1">
        <f>SUMIF(P.25!O39,"&gt;1",(P.25!O39))</f>
        <v>22862.37</v>
      </c>
      <c r="G15" s="1">
        <f>SUM(P.25!P39)</f>
        <v>60783.114035087718</v>
      </c>
      <c r="H15" s="1">
        <f>SUM(P.25!Q39)</f>
        <v>20980.357142857141</v>
      </c>
      <c r="I15" s="1">
        <f>SUM(P.25!R39)</f>
        <v>5454.545454545455</v>
      </c>
      <c r="J15" s="2">
        <v>1812</v>
      </c>
      <c r="K15" s="12">
        <f>RANK(C15,$C$4:$C$25,1)+COUNTIF($C$4:C15,C15)-1</f>
        <v>20</v>
      </c>
      <c r="L15" s="11" t="str">
        <f>INDEX(B4:I25,MATCH(12,K4:K25,0),1)</f>
        <v>Lesko</v>
      </c>
      <c r="M15" s="1">
        <f>INDEX(B4:I25,MATCH(12,K4:K25,0),2)</f>
        <v>18791.869565217392</v>
      </c>
    </row>
    <row r="16" spans="1:13" x14ac:dyDescent="0.25">
      <c r="A16" s="9">
        <v>13</v>
      </c>
      <c r="B16" s="2" t="s">
        <v>81</v>
      </c>
      <c r="C16" s="296">
        <f>SUM(P.25!L40)</f>
        <v>23368.433911290325</v>
      </c>
      <c r="D16" s="1">
        <f>SUM(P.25!M40)</f>
        <v>9671.8372972972975</v>
      </c>
      <c r="E16" s="1">
        <f>SUM(P.25!N40)</f>
        <v>18597.644124999999</v>
      </c>
      <c r="F16" s="1">
        <f>SUMIF(P.25!O40,"&gt;1",(P.25!O40))</f>
        <v>24405.43619047619</v>
      </c>
      <c r="G16" s="1">
        <f>SUM(P.25!P40)</f>
        <v>31429.579649122807</v>
      </c>
      <c r="H16" s="1">
        <f>SUM(P.25!Q40)</f>
        <v>52122.054857142852</v>
      </c>
      <c r="I16" s="1">
        <f>SUM(P.25!R40)</f>
        <v>11666.666666666666</v>
      </c>
      <c r="J16" s="2">
        <v>1814</v>
      </c>
      <c r="K16" s="59">
        <f>RANK(C16,$C$4:$C$25,1)+COUNTIF($C$4:C16,C16)-1</f>
        <v>21</v>
      </c>
      <c r="L16" s="14" t="str">
        <f>INDEX(B4:I25,MATCH(13,K4:K25,0),1)</f>
        <v>Ropczyce</v>
      </c>
      <c r="M16" s="1">
        <f>INDEX(B4:I25,MATCH(13,K4:K25,0),2)</f>
        <v>18855.229770114944</v>
      </c>
    </row>
    <row r="17" spans="1:15" x14ac:dyDescent="0.25">
      <c r="A17" s="9">
        <v>14</v>
      </c>
      <c r="B17" s="2" t="s">
        <v>82</v>
      </c>
      <c r="C17" s="296">
        <f>SUM(P.25!L41)</f>
        <v>18855.229770114944</v>
      </c>
      <c r="D17" s="1">
        <f>SUM(P.25!M41)</f>
        <v>15120.53</v>
      </c>
      <c r="E17" s="1">
        <f>SUM(P.25!N41)</f>
        <v>15478.092470588237</v>
      </c>
      <c r="F17" s="1">
        <f>SUMIF(P.25!O41,"&gt;1",(P.25!O41))</f>
        <v>25674.542000000001</v>
      </c>
      <c r="G17" s="1">
        <f>SUM(P.25!P41)</f>
        <v>32659.126718750002</v>
      </c>
      <c r="H17" s="1">
        <f>SUM(P.25!Q41)</f>
        <v>16189.324675324675</v>
      </c>
      <c r="I17" s="1">
        <f>SUM(P.25!R41)</f>
        <v>6666.666666666667</v>
      </c>
      <c r="J17" s="2">
        <v>1815</v>
      </c>
      <c r="K17" s="13">
        <f>RANK(C17,$C$4:$C$25,1)+COUNTIF($C$4:C17,C17)-1</f>
        <v>13</v>
      </c>
      <c r="L17" s="14" t="str">
        <f>INDEX(B4:I25,MATCH(14,K4:K25,0),1)</f>
        <v>Jasło</v>
      </c>
      <c r="M17" s="1">
        <f>INDEX(B4:I25,MATCH(14,K4:K25,0),2)</f>
        <v>19743.800962566846</v>
      </c>
    </row>
    <row r="18" spans="1:15" x14ac:dyDescent="0.25">
      <c r="A18" s="299">
        <v>15</v>
      </c>
      <c r="B18" s="298" t="s">
        <v>83</v>
      </c>
      <c r="C18" s="297">
        <f>SUM(P.25!L43)</f>
        <v>15376.536067796609</v>
      </c>
      <c r="D18" s="95">
        <f>SUM(P.25!M43)</f>
        <v>5083.8857307692306</v>
      </c>
      <c r="E18" s="95">
        <f>SUM(P.25!N43)</f>
        <v>11100.79969924812</v>
      </c>
      <c r="F18" s="95">
        <f>SUMIF(P.25!O43,"&gt;1",(P.25!O43))</f>
        <v>19239.378834951458</v>
      </c>
      <c r="G18" s="95">
        <f>SUM(P.25!P43)</f>
        <v>37121.876798780489</v>
      </c>
      <c r="H18" s="95">
        <f>SUM(P.25!Q43)</f>
        <v>38719.998815165876</v>
      </c>
      <c r="I18" s="95">
        <f>SUM(P.25!R43)</f>
        <v>10086.384929577463</v>
      </c>
      <c r="J18" s="298" t="s">
        <v>136</v>
      </c>
      <c r="K18" s="9">
        <f>RANK(C18,$C$4:$C$25,1)+COUNTIF($C$4:C18,C18)-1</f>
        <v>4</v>
      </c>
      <c r="L18" s="2" t="str">
        <f>INDEX(B4:I25,MATCH(15,K4:K25,0),1)</f>
        <v>Brzozów</v>
      </c>
      <c r="M18" s="1">
        <f>INDEX(B4:I25,MATCH(15,K4:K25,0),2)</f>
        <v>19766.191826923077</v>
      </c>
    </row>
    <row r="19" spans="1:15" x14ac:dyDescent="0.25">
      <c r="A19" s="9">
        <v>16</v>
      </c>
      <c r="B19" s="2" t="s">
        <v>84</v>
      </c>
      <c r="C19" s="296">
        <f>SUM(P.25!L44)</f>
        <v>21536.895444444446</v>
      </c>
      <c r="D19" s="1">
        <f>SUM(P.25!M44)</f>
        <v>10350.701666666666</v>
      </c>
      <c r="E19" s="1">
        <f>SUM(P.25!N44)</f>
        <v>11760.912112676056</v>
      </c>
      <c r="F19" s="1">
        <f>SUMIF(P.25!O44,"&gt;1",(P.25!O44))</f>
        <v>16076.913125000001</v>
      </c>
      <c r="G19" s="1">
        <f>SUM(P.25!P44)</f>
        <v>38178.404579439251</v>
      </c>
      <c r="H19" s="1">
        <f>SUM(P.25!Q44)</f>
        <v>16894.621830985914</v>
      </c>
      <c r="I19" s="1">
        <f>SUM(P.25!R44)</f>
        <v>14582.35294117647</v>
      </c>
      <c r="J19" s="2">
        <v>1817</v>
      </c>
      <c r="K19" s="9">
        <f>RANK(C19,$C$4:$C$25,1)+COUNTIF($C$4:C19,C19)-1</f>
        <v>19</v>
      </c>
      <c r="L19" s="2" t="str">
        <f>INDEX(B4:I25,MATCH(16,K4:K25,0),1)</f>
        <v>Przemyśl</v>
      </c>
      <c r="M19" s="1">
        <f>INDEX(B4:I25,MATCH(16,K4:K25,0),2)</f>
        <v>20774.599173553717</v>
      </c>
    </row>
    <row r="20" spans="1:15" x14ac:dyDescent="0.25">
      <c r="A20" s="9">
        <v>17</v>
      </c>
      <c r="B20" s="2" t="s">
        <v>85</v>
      </c>
      <c r="C20" s="296">
        <f>SUM(P.25!L45)</f>
        <v>17818.265393939393</v>
      </c>
      <c r="D20" s="1">
        <f>SUM(P.25!M45)</f>
        <v>12213.680476190479</v>
      </c>
      <c r="E20" s="1">
        <f>SUM(P.25!N45)</f>
        <v>12231.750729166668</v>
      </c>
      <c r="F20" s="1">
        <f>SUMIF(P.25!O45,"&gt;1",(P.25!O45))</f>
        <v>23889.046818181818</v>
      </c>
      <c r="G20" s="1">
        <f>SUM(P.25!P45)</f>
        <v>33058.030508474578</v>
      </c>
      <c r="H20" s="1">
        <f>SUM(P.25!Q45)</f>
        <v>18819.021555555555</v>
      </c>
      <c r="I20" s="1">
        <f>SUM(P.25!R45)</f>
        <v>5166.666666666667</v>
      </c>
      <c r="J20" s="2">
        <v>1818</v>
      </c>
      <c r="K20" s="9">
        <f>RANK(C20,$C$4:$C$25,1)+COUNTIF($C$4:C20,C20)-1</f>
        <v>9</v>
      </c>
      <c r="L20" s="2" t="str">
        <f>INDEX(B4:I25,MATCH(17,K4:K25,0),1)</f>
        <v>Kolbuszowa</v>
      </c>
      <c r="M20" s="1">
        <f>INDEX(B4:I25,MATCH(17,K4:K25,0),2)</f>
        <v>21030.050721649484</v>
      </c>
    </row>
    <row r="21" spans="1:15" x14ac:dyDescent="0.25">
      <c r="A21" s="9">
        <v>18</v>
      </c>
      <c r="B21" s="2" t="s">
        <v>86</v>
      </c>
      <c r="C21" s="296">
        <f>SUM(P.25!L46)</f>
        <v>15305.461784232366</v>
      </c>
      <c r="D21" s="1">
        <f>SUM(P.25!M46)</f>
        <v>13517.788409090908</v>
      </c>
      <c r="E21" s="1">
        <f>SUM(P.25!N46)</f>
        <v>17291.258000000002</v>
      </c>
      <c r="F21" s="1">
        <f>SUMIF(P.25!O46,"&gt;1",(P.25!O46))</f>
        <v>26515.304434782607</v>
      </c>
      <c r="G21" s="1">
        <f>SUM(P.25!P46)</f>
        <v>35097.770833333336</v>
      </c>
      <c r="H21" s="1">
        <f>SUM(P.25!Q46)</f>
        <v>31518.684507042253</v>
      </c>
      <c r="I21" s="1">
        <f>SUM(P.25!R46)</f>
        <v>15750</v>
      </c>
      <c r="J21" s="2">
        <v>1819</v>
      </c>
      <c r="K21" s="9">
        <f>RANK(C21,$C$4:$C$25,1)+COUNTIF($C$4:C21,C21)-1</f>
        <v>3</v>
      </c>
      <c r="L21" s="2" t="str">
        <f>INDEX(B4:I25,MATCH(18,K4:K25,0),1)</f>
        <v>Łańcut</v>
      </c>
      <c r="M21" s="1">
        <f>INDEX(B4:I25,MATCH(18,K4:K25,0),2)</f>
        <v>21100.202897196261</v>
      </c>
    </row>
    <row r="22" spans="1:15" x14ac:dyDescent="0.25">
      <c r="A22" s="299">
        <v>19</v>
      </c>
      <c r="B22" s="298" t="s">
        <v>87</v>
      </c>
      <c r="C22" s="297">
        <f>SUM(P.25!L47)</f>
        <v>15039.525506329113</v>
      </c>
      <c r="D22" s="95">
        <f>SUM(P.25!M47)</f>
        <v>19238.223750000001</v>
      </c>
      <c r="E22" s="95">
        <f>SUM(P.25!N47)</f>
        <v>10424.767582417582</v>
      </c>
      <c r="F22" s="95">
        <f>SUMIF(P.25!O47,"&gt;1",(P.25!O47))</f>
        <v>21996.634620253164</v>
      </c>
      <c r="G22" s="95">
        <f>SUM(P.25!P47)</f>
        <v>24311.7</v>
      </c>
      <c r="H22" s="95">
        <f>SUM(P.25!Q47)</f>
        <v>27924.593214285713</v>
      </c>
      <c r="I22" s="95">
        <f>SUM(P.25!R47)</f>
        <v>9894.7368421052633</v>
      </c>
      <c r="J22" s="298" t="s">
        <v>137</v>
      </c>
      <c r="K22" s="9">
        <f>RANK(C22,$C$4:$C$25,1)+COUNTIF($C$4:C22,C22)-1</f>
        <v>2</v>
      </c>
      <c r="L22" s="2" t="str">
        <f>INDEX(B4:I25,MATCH(19,K4:K25,0),1)</f>
        <v>Sanok</v>
      </c>
      <c r="M22" s="1">
        <f>INDEX(B4:I25,MATCH(19,K4:K25,0),2)</f>
        <v>21536.895444444446</v>
      </c>
    </row>
    <row r="23" spans="1:15" x14ac:dyDescent="0.25">
      <c r="A23" s="9">
        <v>20</v>
      </c>
      <c r="B23" s="2" t="s">
        <v>88</v>
      </c>
      <c r="C23" s="296">
        <f>SUM(P.25!L48)</f>
        <v>18791.869565217392</v>
      </c>
      <c r="D23" s="1">
        <f>SUM(P.25!M48)</f>
        <v>17502.547500000001</v>
      </c>
      <c r="E23" s="1">
        <f>SUM(P.25!N48)</f>
        <v>15372.428285714286</v>
      </c>
      <c r="F23" s="1">
        <f>SUMIF(P.25!O48,"&gt;1",(P.25!O48))</f>
        <v>31909.594375000001</v>
      </c>
      <c r="G23" s="1">
        <f>SUM(P.25!P48)</f>
        <v>33514.66118644068</v>
      </c>
      <c r="H23" s="1">
        <f>SUM(P.25!Q48)</f>
        <v>34685.678709677421</v>
      </c>
      <c r="I23" s="1">
        <f>SUM(P.25!R48)</f>
        <v>19352.941176470587</v>
      </c>
      <c r="J23" s="2">
        <v>1821</v>
      </c>
      <c r="K23" s="9">
        <f>RANK(C23,$C$4:$C$25,1)+COUNTIF($C$4:C23,C23)-1</f>
        <v>12</v>
      </c>
      <c r="L23" s="2" t="str">
        <f>INDEX(B4:I25,MATCH(20,K4:K25,0),1)</f>
        <v>Nisko</v>
      </c>
      <c r="M23" s="1">
        <f>INDEX(B4:I25,MATCH(20,K4:K25,0),2)</f>
        <v>22950.568740740739</v>
      </c>
    </row>
    <row r="24" spans="1:15" x14ac:dyDescent="0.25">
      <c r="A24" s="299">
        <v>21</v>
      </c>
      <c r="B24" s="298" t="s">
        <v>91</v>
      </c>
      <c r="C24" s="297">
        <f>SUM(P.25!L49)</f>
        <v>20774.599173553717</v>
      </c>
      <c r="D24" s="95">
        <f>SUM(P.25!M49)</f>
        <v>15984.357894736842</v>
      </c>
      <c r="E24" s="95">
        <f>SUM(P.25!N49)</f>
        <v>15361.943445692883</v>
      </c>
      <c r="F24" s="95">
        <f>SUMIF(P.25!O49,"&gt;1",(P.25!O49))</f>
        <v>28646.019558823529</v>
      </c>
      <c r="G24" s="95">
        <f>SUM(P.25!P49)</f>
        <v>30128.816223776223</v>
      </c>
      <c r="H24" s="95">
        <f>SUM(P.25!Q49)</f>
        <v>44715.425000000003</v>
      </c>
      <c r="I24" s="95">
        <f>SUM(P.25!R49)</f>
        <v>11547.169811320755</v>
      </c>
      <c r="J24" s="298" t="s">
        <v>135</v>
      </c>
      <c r="K24" s="9">
        <f>RANK(C24,$C$4:$C$25,1)+COUNTIF($C$4:C24,C24)-1</f>
        <v>16</v>
      </c>
      <c r="L24" s="2" t="str">
        <f>INDEX(B4:I25,MATCH(21,K4:K25,0),1)</f>
        <v>Przeworsk</v>
      </c>
      <c r="M24" s="1">
        <f>INDEX(B4:I25,MATCH(21,K4:K25,0),2)</f>
        <v>23368.433911290325</v>
      </c>
    </row>
    <row r="25" spans="1:15" x14ac:dyDescent="0.25">
      <c r="A25" s="9">
        <v>22</v>
      </c>
      <c r="B25" s="11" t="s">
        <v>94</v>
      </c>
      <c r="C25" s="296">
        <f>SUM(P.25!L50)</f>
        <v>18392.965695890409</v>
      </c>
      <c r="D25" s="1">
        <f>SUM(P.25!M50)</f>
        <v>10098.81053030303</v>
      </c>
      <c r="E25" s="1">
        <f>SUM(P.25!N50)</f>
        <v>12347.160524385772</v>
      </c>
      <c r="F25" s="1">
        <f>SUMIF(P.25!O50,"&gt;1",(P.25!O50))</f>
        <v>22106.118038490007</v>
      </c>
      <c r="G25" s="1">
        <f>SUM(P.25!P50)</f>
        <v>34538.310051078319</v>
      </c>
      <c r="H25" s="1">
        <f>SUM(P.25!Q50)</f>
        <v>30333.703615857823</v>
      </c>
      <c r="I25" s="1">
        <f>SUM(P.25!R50)</f>
        <v>12881.823491204332</v>
      </c>
      <c r="J25" s="2">
        <v>1800</v>
      </c>
      <c r="K25" s="9">
        <f>RANK(C25,$C$4:$C$25,1)+COUNTIF($C$4:C25,C25)-1</f>
        <v>11</v>
      </c>
      <c r="L25" s="2" t="str">
        <f>INDEX(B4:I25,MATCH(22,K4:K25,0),1)</f>
        <v>Dębica</v>
      </c>
      <c r="M25" s="1">
        <f>INDEX(B4:I25,MATCH(22,K4:K25,0),2)</f>
        <v>24909.382870370373</v>
      </c>
      <c r="O25" s="101">
        <f>SUM(C25)/1000</f>
        <v>18.39296569589041</v>
      </c>
    </row>
    <row r="26" spans="1:15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5" x14ac:dyDescent="0.25">
      <c r="A27" s="294">
        <v>1</v>
      </c>
      <c r="B27" s="295" t="s">
        <v>1</v>
      </c>
      <c r="C27" s="8" t="s">
        <v>143</v>
      </c>
      <c r="F27" s="5"/>
    </row>
    <row r="28" spans="1:15" x14ac:dyDescent="0.25">
      <c r="A28" s="9">
        <v>2</v>
      </c>
      <c r="B28" s="10" t="s">
        <v>2</v>
      </c>
      <c r="C28" s="8" t="s">
        <v>143</v>
      </c>
    </row>
    <row r="29" spans="1:15" x14ac:dyDescent="0.25">
      <c r="A29" s="9">
        <v>3</v>
      </c>
      <c r="B29" s="10" t="s">
        <v>3</v>
      </c>
      <c r="C29" s="8" t="s">
        <v>143</v>
      </c>
    </row>
    <row r="30" spans="1:15" x14ac:dyDescent="0.25">
      <c r="A30" s="9">
        <v>4</v>
      </c>
      <c r="B30" s="10" t="s">
        <v>4</v>
      </c>
      <c r="C30" s="8" t="s">
        <v>143</v>
      </c>
    </row>
    <row r="31" spans="1:15" x14ac:dyDescent="0.25">
      <c r="A31" s="9">
        <v>5</v>
      </c>
      <c r="B31" s="10" t="s">
        <v>16</v>
      </c>
      <c r="C31" s="8" t="s">
        <v>143</v>
      </c>
    </row>
    <row r="32" spans="1:15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F6CF1-B5CA-495E-BD4A-9A320BEF0782}">
  <sheetPr>
    <tabColor theme="0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2" width="13.42578125" style="8" customWidth="1"/>
    <col min="3" max="3" width="14.28515625" style="8" customWidth="1"/>
    <col min="4" max="4" width="12.42578125" style="8" customWidth="1"/>
    <col min="5" max="5" width="13.140625" style="8" customWidth="1"/>
    <col min="6" max="6" width="12.85546875" style="8" customWidth="1"/>
    <col min="7" max="7" width="12.28515625" style="8" customWidth="1"/>
    <col min="8" max="9" width="13.42578125" style="8" customWidth="1"/>
    <col min="10" max="10" width="11.140625" style="5" customWidth="1"/>
    <col min="11" max="11" width="6.85546875" style="5" customWidth="1"/>
    <col min="12" max="12" width="14.42578125" style="5" customWidth="1"/>
    <col min="13" max="13" width="11.5703125" style="8" customWidth="1"/>
    <col min="14" max="16384" width="9.140625" style="8"/>
  </cols>
  <sheetData>
    <row r="1" spans="1:13" x14ac:dyDescent="0.25">
      <c r="A1" s="8" t="s">
        <v>147</v>
      </c>
      <c r="B1" s="471">
        <v>2025</v>
      </c>
    </row>
    <row r="2" spans="1:13" x14ac:dyDescent="0.25">
      <c r="A2" s="8" t="s">
        <v>299</v>
      </c>
    </row>
    <row r="3" spans="1:13" x14ac:dyDescent="0.25">
      <c r="A3" s="294">
        <f>SUM(P.!K26)</f>
        <v>0</v>
      </c>
      <c r="B3" s="295" t="s">
        <v>95</v>
      </c>
      <c r="C3" s="294" t="s">
        <v>127</v>
      </c>
      <c r="D3" s="294" t="s">
        <v>126</v>
      </c>
      <c r="E3" s="294" t="s">
        <v>140</v>
      </c>
      <c r="F3" s="294" t="s">
        <v>130</v>
      </c>
      <c r="G3" s="294" t="s">
        <v>141</v>
      </c>
      <c r="H3" s="294" t="s">
        <v>139</v>
      </c>
      <c r="I3" s="294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1">
        <f>SUM(P.25!L27)</f>
        <v>17215.242705882352</v>
      </c>
      <c r="D4" s="296">
        <f>SUM(P.25!M27)</f>
        <v>20668.188571428571</v>
      </c>
      <c r="E4" s="1">
        <f>SUM(P.25!N27)</f>
        <v>18468.831372549019</v>
      </c>
      <c r="F4" s="1">
        <f>SUMIF(P.25!O27,"&gt;1",(P.25!O27))</f>
        <v>32760.230833333335</v>
      </c>
      <c r="G4" s="1">
        <f>SUMIF(P.25!P27,"&gt;1",(P.25!P27))</f>
        <v>30990.075000000001</v>
      </c>
      <c r="H4" s="1">
        <f>SUMIF(P.25!Q27,"&gt;1",(P.25!Q27))</f>
        <v>8284.1247368421045</v>
      </c>
      <c r="I4" s="1">
        <f>SUMIF(P.25!R27,"&gt;1",(P.25!R27))</f>
        <v>12025</v>
      </c>
      <c r="J4" s="2">
        <v>1801</v>
      </c>
      <c r="K4" s="12">
        <f>RANK(D4,$D$4:$D$25,1)+COUNTIF($D$4:D4,D4)-1</f>
        <v>20</v>
      </c>
      <c r="L4" s="2" t="str">
        <f>INDEX(B4:I25,MATCH(1,K4:K25,0),1)</f>
        <v>Rzeszów</v>
      </c>
      <c r="M4" s="1">
        <f>INDEX(B4:I25,MATCH(1,K4:K25,0),3)</f>
        <v>5083.8857307692306</v>
      </c>
    </row>
    <row r="5" spans="1:13" x14ac:dyDescent="0.25">
      <c r="A5" s="9">
        <v>2</v>
      </c>
      <c r="B5" s="2" t="s">
        <v>70</v>
      </c>
      <c r="C5" s="1">
        <f>SUM(P.25!L28)</f>
        <v>19766.191826923077</v>
      </c>
      <c r="D5" s="296">
        <f>SUM(P.25!M28)</f>
        <v>9153.7711764705873</v>
      </c>
      <c r="E5" s="1">
        <f>SUM(P.25!N28)</f>
        <v>9294.6093382352956</v>
      </c>
      <c r="F5" s="1">
        <f>SUMIF(P.25!O28,"&gt;1",(P.25!O28))</f>
        <v>21926.968000000001</v>
      </c>
      <c r="G5" s="1">
        <f>SUM(P.25!P28)</f>
        <v>33882.403969465646</v>
      </c>
      <c r="H5" s="1">
        <f>SUM(P.25!Q28)</f>
        <v>49516.699574468083</v>
      </c>
      <c r="I5" s="1">
        <f>SUM(P.25!R28)</f>
        <v>17660.377358490565</v>
      </c>
      <c r="J5" s="2">
        <v>1802</v>
      </c>
      <c r="K5" s="12">
        <f>RANK(D5,$D$4:$D$25,1)+COUNTIF($D$4:D5,D5)-1</f>
        <v>4</v>
      </c>
      <c r="L5" s="11" t="str">
        <f>INDEX(B4:I25,MATCH(2,K4:K25,0),1)</f>
        <v>Łańcut</v>
      </c>
      <c r="M5" s="1">
        <f>INDEX(B4:I25,MATCH(2,K4:K25,0),3)</f>
        <v>6174.4281250000004</v>
      </c>
    </row>
    <row r="6" spans="1:13" x14ac:dyDescent="0.25">
      <c r="A6" s="9">
        <v>3</v>
      </c>
      <c r="B6" s="2" t="s">
        <v>71</v>
      </c>
      <c r="C6" s="1">
        <f>SUM(P.25!L29)</f>
        <v>24909.382870370373</v>
      </c>
      <c r="D6" s="296">
        <f>SUM(P.25!M29)</f>
        <v>7253.38</v>
      </c>
      <c r="E6" s="1">
        <f>SUM(P.25!N29)</f>
        <v>9652.3577173913054</v>
      </c>
      <c r="F6" s="1">
        <f>SUMIF(P.25!O29,"&gt;1",(P.25!O29))</f>
        <v>11656.7925</v>
      </c>
      <c r="G6" s="1">
        <f>SUM(P.25!P29)</f>
        <v>24340.21305882353</v>
      </c>
      <c r="H6" s="1">
        <f>SUM(P.25!Q29)</f>
        <v>34076.923076923078</v>
      </c>
      <c r="I6" s="1">
        <f>SUM(P.25!R29)</f>
        <v>8275.8620689655181</v>
      </c>
      <c r="J6" s="2">
        <v>1803</v>
      </c>
      <c r="K6" s="12">
        <f>RANK(D6,$D$4:$D$25,1)+COUNTIF($D$4:D6,D6)-1</f>
        <v>3</v>
      </c>
      <c r="L6" s="11" t="str">
        <f>INDEX(B4:I25,MATCH(3,K4:K25,0),1)</f>
        <v>Dębica</v>
      </c>
      <c r="M6" s="1">
        <f>INDEX(B4:I25,MATCH(3,K4:K25,0),3)</f>
        <v>7253.38</v>
      </c>
    </row>
    <row r="7" spans="1:13" x14ac:dyDescent="0.25">
      <c r="A7" s="9">
        <v>4</v>
      </c>
      <c r="B7" s="2" t="s">
        <v>72</v>
      </c>
      <c r="C7" s="1">
        <f>SUM(P.25!L30)</f>
        <v>16915.526422413794</v>
      </c>
      <c r="D7" s="296">
        <f>SUM(P.25!M30)</f>
        <v>13146.98625</v>
      </c>
      <c r="E7" s="1">
        <f>SUM(P.25!N30)</f>
        <v>7179.6699200000003</v>
      </c>
      <c r="F7" s="1">
        <f>SUMIF(P.25!O30,"&gt;1",(P.25!O30))</f>
        <v>25593.756434782612</v>
      </c>
      <c r="G7" s="1">
        <f>SUM(P.25!P30)</f>
        <v>25844.193548387098</v>
      </c>
      <c r="H7" s="1">
        <f>SUM(P.25!Q30)</f>
        <v>18706.133739837402</v>
      </c>
      <c r="I7" s="1">
        <f>SUM(P.25!R30)</f>
        <v>40426.620000000003</v>
      </c>
      <c r="J7" s="2">
        <v>1804</v>
      </c>
      <c r="K7" s="12">
        <f>RANK(D7,$D$4:$D$25,1)+COUNTIF($D$4:D7,D7)-1</f>
        <v>11</v>
      </c>
      <c r="L7" s="11" t="str">
        <f>INDEX(B4:I25,MATCH(4,K4:K25,0),1)</f>
        <v>Brzozów</v>
      </c>
      <c r="M7" s="1">
        <f>INDEX(B4:I25,MATCH(4,K4:K25,0),3)</f>
        <v>9153.7711764705873</v>
      </c>
    </row>
    <row r="8" spans="1:13" x14ac:dyDescent="0.25">
      <c r="A8" s="9">
        <v>5</v>
      </c>
      <c r="B8" s="2" t="s">
        <v>73</v>
      </c>
      <c r="C8" s="1">
        <f>SUM(P.25!L31)</f>
        <v>19743.800962566846</v>
      </c>
      <c r="D8" s="296">
        <f>SUM(P.25!M31)</f>
        <v>17613.050666666666</v>
      </c>
      <c r="E8" s="1">
        <f>SUM(P.25!N31)</f>
        <v>9960.3185333333331</v>
      </c>
      <c r="F8" s="1">
        <f>SUMIF(P.25!O31,"&gt;1",(P.25!O31))</f>
        <v>21041.448360655741</v>
      </c>
      <c r="G8" s="1">
        <f>SUM(P.25!P31)</f>
        <v>36474.390471698112</v>
      </c>
      <c r="H8" s="1">
        <f>SUM(P.25!Q31)</f>
        <v>39148.718687500004</v>
      </c>
      <c r="I8" s="1">
        <f>SUM(P.25!R31)</f>
        <v>16238.344054054054</v>
      </c>
      <c r="J8" s="2">
        <v>1805</v>
      </c>
      <c r="K8" s="12">
        <f>RANK(D8,$D$4:$D$25,1)+COUNTIF($D$4:D8,D8)-1</f>
        <v>18</v>
      </c>
      <c r="L8" s="11" t="str">
        <f>INDEX(B4:I25,MATCH(5,K4:K25,0),1)</f>
        <v>Przeworsk</v>
      </c>
      <c r="M8" s="1">
        <f>INDEX(B4:I25,MATCH(5,K4:K25,0),3)</f>
        <v>9671.8372972972975</v>
      </c>
    </row>
    <row r="9" spans="1:13" x14ac:dyDescent="0.25">
      <c r="A9" s="9">
        <v>6</v>
      </c>
      <c r="B9" s="2" t="s">
        <v>74</v>
      </c>
      <c r="C9" s="1">
        <f>SUM(P.25!L32)</f>
        <v>21030.050721649484</v>
      </c>
      <c r="D9" s="296">
        <f>SUM(P.25!M32)</f>
        <v>17478.610999999997</v>
      </c>
      <c r="E9" s="1">
        <f>SUM(P.25!N32)</f>
        <v>9612.0897777777773</v>
      </c>
      <c r="F9" s="1">
        <f>SUMIF(P.25!O32,"&gt;1",(P.25!O32))</f>
        <v>26057.456249999999</v>
      </c>
      <c r="G9" s="1">
        <f>SUM(P.25!P32)</f>
        <v>58452.892368421053</v>
      </c>
      <c r="H9" s="1">
        <f>SUM(P.25!Q32)</f>
        <v>19882.358285714286</v>
      </c>
      <c r="I9" s="562">
        <f>SUMIF(P.25!R32,"&gt;1",(P.25!R32))</f>
        <v>0</v>
      </c>
      <c r="J9" s="2">
        <v>1806</v>
      </c>
      <c r="K9" s="12">
        <f>RANK(D9,$D$4:$D$25,1)+COUNTIF($D$4:D9,D9)-1</f>
        <v>16</v>
      </c>
      <c r="L9" s="11" t="str">
        <f>INDEX(B4:I25,MATCH(6,K4:K25,0),1)</f>
        <v>Lubaczów</v>
      </c>
      <c r="M9" s="1">
        <f>INDEX(B4:I25,MATCH(6,K4:K25,0),3)</f>
        <v>9785.2900000000009</v>
      </c>
    </row>
    <row r="10" spans="1:13" x14ac:dyDescent="0.25">
      <c r="A10" s="299">
        <v>7</v>
      </c>
      <c r="B10" s="298" t="s">
        <v>75</v>
      </c>
      <c r="C10" s="95">
        <f>SUM(P.25!L33)</f>
        <v>16338.483195266273</v>
      </c>
      <c r="D10" s="297">
        <f>SUM(P.25!M33)</f>
        <v>13560.481428571427</v>
      </c>
      <c r="E10" s="95">
        <f>SUM(P.25!N33)</f>
        <v>10450.554743589744</v>
      </c>
      <c r="F10" s="95">
        <f>SUMIF(P.25!O33,"&gt;1",(P.25!O33))</f>
        <v>14616.336666666668</v>
      </c>
      <c r="G10" s="95">
        <f>SUM(P.25!P33)</f>
        <v>36613.509012345676</v>
      </c>
      <c r="H10" s="297">
        <f>SUM(P.25!Q33)</f>
        <v>33816.54367088608</v>
      </c>
      <c r="I10" s="95">
        <f>SUM(P.25!R33)</f>
        <v>9939.3939393939399</v>
      </c>
      <c r="J10" s="298" t="s">
        <v>134</v>
      </c>
      <c r="K10" s="12">
        <f>RANK(D10,$D$4:$D$25,1)+COUNTIF($D$4:D10,D10)-1</f>
        <v>13</v>
      </c>
      <c r="L10" s="469" t="str">
        <f>INDEX(B4:I25,MATCH(7,K4:K25,0),1)</f>
        <v>Podkarpacie</v>
      </c>
      <c r="M10" s="464">
        <f>INDEX(B4:I25,MATCH(7,K4:K25,0),3)</f>
        <v>10098.81053030303</v>
      </c>
    </row>
    <row r="11" spans="1:13" x14ac:dyDescent="0.25">
      <c r="A11" s="9">
        <v>8</v>
      </c>
      <c r="B11" s="2" t="s">
        <v>76</v>
      </c>
      <c r="C11" s="1">
        <f>SUM(P.25!L35)</f>
        <v>17831.99090909091</v>
      </c>
      <c r="D11" s="296">
        <f>SUM(P.25!M35)</f>
        <v>25349.94875</v>
      </c>
      <c r="E11" s="1">
        <f>SUM(P.25!N35)</f>
        <v>9857.1518309859166</v>
      </c>
      <c r="F11" s="1">
        <f>SUMIF(P.25!O35,"&gt;1",(P.25!O35))</f>
        <v>12182.592554744526</v>
      </c>
      <c r="G11" s="1">
        <f>SUM(P.25!P35)</f>
        <v>33798.138983050849</v>
      </c>
      <c r="H11" s="1">
        <f>SUM(P.25!Q35)</f>
        <v>15035.338666666667</v>
      </c>
      <c r="I11" s="1">
        <f>SUM(P.25!R35)</f>
        <v>10476.190476190477</v>
      </c>
      <c r="J11" s="2">
        <v>1808</v>
      </c>
      <c r="K11" s="12">
        <f>RANK(D11,$D$4:$D$25,1)+COUNTIF($D$4:D11,D11)-1</f>
        <v>22</v>
      </c>
      <c r="L11" s="11" t="str">
        <f>INDEX(B4:I25,MATCH(8,K4:K25,0),1)</f>
        <v>Sanok</v>
      </c>
      <c r="M11" s="1">
        <f>INDEX(B4:I25,MATCH(8,K4:K25,0),3)</f>
        <v>10350.701666666666</v>
      </c>
    </row>
    <row r="12" spans="1:13" x14ac:dyDescent="0.25">
      <c r="A12" s="9">
        <v>9</v>
      </c>
      <c r="B12" s="2" t="s">
        <v>77</v>
      </c>
      <c r="C12" s="1">
        <f>SUM(P.25!L36)</f>
        <v>14347.0075</v>
      </c>
      <c r="D12" s="296">
        <f>SUM(P.25!M36)</f>
        <v>9785.2900000000009</v>
      </c>
      <c r="E12" s="1">
        <f>SUM(P.25!N36)</f>
        <v>11910.110540540541</v>
      </c>
      <c r="F12" s="1">
        <f>SUMIF(P.25!O36,"&gt;1",(P.25!O36))</f>
        <v>22177.651249999999</v>
      </c>
      <c r="G12" s="1">
        <f>SUM(P.25!P36)</f>
        <v>27639.703703703704</v>
      </c>
      <c r="H12" s="296">
        <f>SUMIF(P.25!Q36,"&gt;1",(P.25!Q36))</f>
        <v>0</v>
      </c>
      <c r="I12" s="1">
        <f>SUMIF(P.25!R36,"&gt;1",(P.25!R36))</f>
        <v>10320.76923076923</v>
      </c>
      <c r="J12" s="2">
        <v>1809</v>
      </c>
      <c r="K12" s="12">
        <f>RANK(D12,$D$4:$D$25,1)+COUNTIF($D$4:D12,D12)-1</f>
        <v>6</v>
      </c>
      <c r="L12" s="11" t="str">
        <f>INDEX(B4:I25,MATCH(9,K4:K25,0),1)</f>
        <v>Mielec</v>
      </c>
      <c r="M12" s="1">
        <f>INDEX(B4:I25,MATCH(9,K4:K25,0),3)</f>
        <v>11511.252500000001</v>
      </c>
    </row>
    <row r="13" spans="1:13" x14ac:dyDescent="0.25">
      <c r="A13" s="9">
        <v>10</v>
      </c>
      <c r="B13" s="2" t="s">
        <v>78</v>
      </c>
      <c r="C13" s="1">
        <f>SUM(P.25!L37)</f>
        <v>21100.202897196261</v>
      </c>
      <c r="D13" s="296">
        <f>SUM(P.25!M37)</f>
        <v>6174.4281250000004</v>
      </c>
      <c r="E13" s="1">
        <f>SUM(P.25!N37)</f>
        <v>14383.268333333333</v>
      </c>
      <c r="F13" s="1">
        <f>SUMIF(P.25!O37,"&gt;1",(P.25!O37))</f>
        <v>19806.177179487182</v>
      </c>
      <c r="G13" s="1">
        <f>SUM(P.25!P37)</f>
        <v>30002.293043478257</v>
      </c>
      <c r="H13" s="1">
        <f>SUM(P.25!Q37)</f>
        <v>35444.152033898303</v>
      </c>
      <c r="I13" s="1">
        <f>SUM(P.25!R37)</f>
        <v>11956.521739130434</v>
      </c>
      <c r="J13" s="2">
        <v>1810</v>
      </c>
      <c r="K13" s="12">
        <f>RANK(D13,$D$4:$D$25,1)+COUNTIF($D$4:D13,D13)-1</f>
        <v>2</v>
      </c>
      <c r="L13" s="11" t="str">
        <f>INDEX(B4:I25,MATCH(10,K4:K25,0),1)</f>
        <v>Stalowa Wola</v>
      </c>
      <c r="M13" s="1">
        <f>INDEX(B4:I25,MATCH(10,K4:K25,0),3)</f>
        <v>12213.680476190479</v>
      </c>
    </row>
    <row r="14" spans="1:13" x14ac:dyDescent="0.25">
      <c r="A14" s="9">
        <v>11</v>
      </c>
      <c r="B14" s="2" t="s">
        <v>79</v>
      </c>
      <c r="C14" s="1">
        <f>SUM(P.25!L38)</f>
        <v>17626.840360824743</v>
      </c>
      <c r="D14" s="296">
        <f>SUM(P.25!M38)</f>
        <v>11511.252500000001</v>
      </c>
      <c r="E14" s="1">
        <f>SUM(P.25!N38)</f>
        <v>11450.537990196079</v>
      </c>
      <c r="F14" s="1">
        <f>SUMIF(P.25!O38,"&gt;1",(P.25!O38))</f>
        <v>11067.973333333333</v>
      </c>
      <c r="G14" s="1">
        <f>SUM(P.25!P38)</f>
        <v>32977.792535211265</v>
      </c>
      <c r="H14" s="1">
        <f>SUM(P.25!Q38)</f>
        <v>32376.172500000004</v>
      </c>
      <c r="I14" s="1">
        <f>SUM(P.25!R38)</f>
        <v>14000</v>
      </c>
      <c r="J14" s="2">
        <v>1811</v>
      </c>
      <c r="K14" s="56">
        <f>RANK(D14,$D$4:$D$25,1)+COUNTIF($D$4:D14,D14)-1</f>
        <v>9</v>
      </c>
      <c r="L14" s="57" t="str">
        <f>INDEX(B4:I25,MATCH(11,K4:K25,0),1)</f>
        <v>Jarosław</v>
      </c>
      <c r="M14" s="15">
        <f>INDEX(B4:I25,MATCH(11,K4:K25,0),3)</f>
        <v>13146.98625</v>
      </c>
    </row>
    <row r="15" spans="1:13" x14ac:dyDescent="0.25">
      <c r="A15" s="9">
        <v>12</v>
      </c>
      <c r="B15" s="2" t="s">
        <v>80</v>
      </c>
      <c r="C15" s="1">
        <f>SUM(P.25!L39)</f>
        <v>22950.568740740739</v>
      </c>
      <c r="D15" s="296">
        <f>SUM(P.25!M39)</f>
        <v>20913.46125</v>
      </c>
      <c r="E15" s="1">
        <f>SUM(P.25!N39)</f>
        <v>11318.09407079646</v>
      </c>
      <c r="F15" s="1">
        <f>SUMIF(P.25!O39,"&gt;1",(P.25!O39))</f>
        <v>22862.37</v>
      </c>
      <c r="G15" s="1">
        <f>SUM(P.25!P39)</f>
        <v>60783.114035087718</v>
      </c>
      <c r="H15" s="1">
        <f>SUM(P.25!Q39)</f>
        <v>20980.357142857141</v>
      </c>
      <c r="I15" s="1">
        <f>SUM(P.25!R39)</f>
        <v>5454.545454545455</v>
      </c>
      <c r="J15" s="2">
        <v>1812</v>
      </c>
      <c r="K15" s="12">
        <f>RANK(D15,$D$4:$D$25,1)+COUNTIF($D$4:D15,D15)-1</f>
        <v>21</v>
      </c>
      <c r="L15" s="11" t="str">
        <f>INDEX(B4:I25,MATCH(12,K4:K25,0),1)</f>
        <v>Strzyżów</v>
      </c>
      <c r="M15" s="1">
        <f>INDEX(B4:I25,MATCH(12,K4:K25,0),3)</f>
        <v>13517.788409090908</v>
      </c>
    </row>
    <row r="16" spans="1:13" x14ac:dyDescent="0.25">
      <c r="A16" s="9">
        <v>13</v>
      </c>
      <c r="B16" s="2" t="s">
        <v>81</v>
      </c>
      <c r="C16" s="1">
        <f>SUM(P.25!L40)</f>
        <v>23368.433911290325</v>
      </c>
      <c r="D16" s="296">
        <f>SUM(P.25!M40)</f>
        <v>9671.8372972972975</v>
      </c>
      <c r="E16" s="1">
        <f>SUM(P.25!N40)</f>
        <v>18597.644124999999</v>
      </c>
      <c r="F16" s="1">
        <f>SUMIF(P.25!O40,"&gt;1",(P.25!O40))</f>
        <v>24405.43619047619</v>
      </c>
      <c r="G16" s="1">
        <f>SUM(P.25!P40)</f>
        <v>31429.579649122807</v>
      </c>
      <c r="H16" s="1">
        <f>SUM(P.25!Q40)</f>
        <v>52122.054857142852</v>
      </c>
      <c r="I16" s="1">
        <f>SUM(P.25!R40)</f>
        <v>11666.666666666666</v>
      </c>
      <c r="J16" s="2">
        <v>1814</v>
      </c>
      <c r="K16" s="13">
        <f>RANK(D16,$D$4:$D$25,1)+COUNTIF($D$4:D16,D16)-1</f>
        <v>5</v>
      </c>
      <c r="L16" s="14" t="str">
        <f>INDEX(B4:I25,MATCH(13,K4:K25,0),1)</f>
        <v>Krosno</v>
      </c>
      <c r="M16" s="1">
        <f>INDEX(B4:I25,MATCH(13,K4:K25,0),3)</f>
        <v>13560.481428571427</v>
      </c>
    </row>
    <row r="17" spans="1:13" x14ac:dyDescent="0.25">
      <c r="A17" s="9">
        <v>14</v>
      </c>
      <c r="B17" s="2" t="s">
        <v>82</v>
      </c>
      <c r="C17" s="1">
        <f>SUM(P.25!L41)</f>
        <v>18855.229770114944</v>
      </c>
      <c r="D17" s="296">
        <f>SUM(P.25!M41)</f>
        <v>15120.53</v>
      </c>
      <c r="E17" s="1">
        <f>SUM(P.25!N41)</f>
        <v>15478.092470588237</v>
      </c>
      <c r="F17" s="1">
        <f>SUMIF(P.25!O41,"&gt;1",(P.25!O41))</f>
        <v>25674.542000000001</v>
      </c>
      <c r="G17" s="1">
        <f>SUM(P.25!P41)</f>
        <v>32659.126718750002</v>
      </c>
      <c r="H17" s="1">
        <f>SUM(P.25!Q41)</f>
        <v>16189.324675324675</v>
      </c>
      <c r="I17" s="1">
        <f>SUM(P.25!R41)</f>
        <v>6666.666666666667</v>
      </c>
      <c r="J17" s="2">
        <v>1815</v>
      </c>
      <c r="K17" s="13">
        <f>RANK(D17,$D$4:$D$25,1)+COUNTIF($D$4:D17,D17)-1</f>
        <v>14</v>
      </c>
      <c r="L17" s="14" t="str">
        <f>INDEX(B4:I25,MATCH(14,K4:K25,0),1)</f>
        <v>Ropczyce</v>
      </c>
      <c r="M17" s="1">
        <f>INDEX(B4:I25,MATCH(14,K4:K25,0),3)</f>
        <v>15120.53</v>
      </c>
    </row>
    <row r="18" spans="1:13" x14ac:dyDescent="0.25">
      <c r="A18" s="299">
        <v>15</v>
      </c>
      <c r="B18" s="298" t="s">
        <v>83</v>
      </c>
      <c r="C18" s="95">
        <f>SUM(P.25!L43)</f>
        <v>15376.536067796609</v>
      </c>
      <c r="D18" s="297">
        <f>SUM(P.25!M43)</f>
        <v>5083.8857307692306</v>
      </c>
      <c r="E18" s="95">
        <f>SUM(P.25!N43)</f>
        <v>11100.79969924812</v>
      </c>
      <c r="F18" s="95">
        <f>SUMIF(P.25!O43,"&gt;1",(P.25!O43))</f>
        <v>19239.378834951458</v>
      </c>
      <c r="G18" s="95">
        <f>SUM(P.25!P43)</f>
        <v>37121.876798780489</v>
      </c>
      <c r="H18" s="95">
        <f>SUM(P.25!Q43)</f>
        <v>38719.998815165876</v>
      </c>
      <c r="I18" s="95">
        <f>SUM(P.25!R43)</f>
        <v>10086.384929577463</v>
      </c>
      <c r="J18" s="298" t="s">
        <v>136</v>
      </c>
      <c r="K18" s="9">
        <f>RANK(D18,$D$4:$D$25,1)+COUNTIF($D$4:D18,D18)-1</f>
        <v>1</v>
      </c>
      <c r="L18" s="2" t="str">
        <f>INDEX(B4:I25,MATCH(15,K4:K25,0),1)</f>
        <v>Przemyśl</v>
      </c>
      <c r="M18" s="1">
        <f>INDEX(B4:I25,MATCH(15,K4:K25,0),3)</f>
        <v>15984.357894736842</v>
      </c>
    </row>
    <row r="19" spans="1:13" x14ac:dyDescent="0.25">
      <c r="A19" s="9">
        <v>16</v>
      </c>
      <c r="B19" s="2" t="s">
        <v>84</v>
      </c>
      <c r="C19" s="1">
        <f>SUM(P.25!L44)</f>
        <v>21536.895444444446</v>
      </c>
      <c r="D19" s="296">
        <f>SUM(P.25!M44)</f>
        <v>10350.701666666666</v>
      </c>
      <c r="E19" s="1">
        <f>SUM(P.25!N44)</f>
        <v>11760.912112676056</v>
      </c>
      <c r="F19" s="1">
        <f>SUMIF(P.25!O44,"&gt;1",(P.25!O44))</f>
        <v>16076.913125000001</v>
      </c>
      <c r="G19" s="1">
        <f>SUM(P.25!P44)</f>
        <v>38178.404579439251</v>
      </c>
      <c r="H19" s="1">
        <f>SUM(P.25!Q44)</f>
        <v>16894.621830985914</v>
      </c>
      <c r="I19" s="1">
        <f>SUM(P.25!R44)</f>
        <v>14582.35294117647</v>
      </c>
      <c r="J19" s="2">
        <v>1817</v>
      </c>
      <c r="K19" s="9">
        <f>RANK(D19,$D$4:$D$25,1)+COUNTIF($D$4:D19,D19)-1</f>
        <v>8</v>
      </c>
      <c r="L19" s="2" t="str">
        <f>INDEX(B4:I25,MATCH(16,K4:K25,0),1)</f>
        <v>Kolbuszowa</v>
      </c>
      <c r="M19" s="1">
        <f>INDEX(B4:I25,MATCH(16,K4:K25,0),3)</f>
        <v>17478.610999999997</v>
      </c>
    </row>
    <row r="20" spans="1:13" x14ac:dyDescent="0.25">
      <c r="A20" s="9">
        <v>17</v>
      </c>
      <c r="B20" s="2" t="s">
        <v>85</v>
      </c>
      <c r="C20" s="1">
        <f>SUM(P.25!L45)</f>
        <v>17818.265393939393</v>
      </c>
      <c r="D20" s="296">
        <f>SUM(P.25!M45)</f>
        <v>12213.680476190479</v>
      </c>
      <c r="E20" s="1">
        <f>SUM(P.25!N45)</f>
        <v>12231.750729166668</v>
      </c>
      <c r="F20" s="1">
        <f>SUMIF(P.25!O45,"&gt;1",(P.25!O45))</f>
        <v>23889.046818181818</v>
      </c>
      <c r="G20" s="1">
        <f>SUM(P.25!P45)</f>
        <v>33058.030508474578</v>
      </c>
      <c r="H20" s="1">
        <f>SUM(P.25!Q45)</f>
        <v>18819.021555555555</v>
      </c>
      <c r="I20" s="1">
        <f>SUM(P.25!R45)</f>
        <v>5166.666666666667</v>
      </c>
      <c r="J20" s="2">
        <v>1818</v>
      </c>
      <c r="K20" s="9">
        <f>RANK(D20,$D$4:$D$25,1)+COUNTIF($D$4:D20,D20)-1</f>
        <v>10</v>
      </c>
      <c r="L20" s="2" t="str">
        <f>INDEX(B4:I25,MATCH(17,K4:K25,0),1)</f>
        <v>Lesko</v>
      </c>
      <c r="M20" s="1">
        <f>INDEX(B4:I25,MATCH(17,K4:K25,0),3)</f>
        <v>17502.547500000001</v>
      </c>
    </row>
    <row r="21" spans="1:13" x14ac:dyDescent="0.25">
      <c r="A21" s="9">
        <v>18</v>
      </c>
      <c r="B21" s="2" t="s">
        <v>86</v>
      </c>
      <c r="C21" s="1">
        <f>SUM(P.25!L46)</f>
        <v>15305.461784232366</v>
      </c>
      <c r="D21" s="296">
        <f>SUM(P.25!M46)</f>
        <v>13517.788409090908</v>
      </c>
      <c r="E21" s="1">
        <f>SUM(P.25!N46)</f>
        <v>17291.258000000002</v>
      </c>
      <c r="F21" s="1">
        <f>SUMIF(P.25!O46,"&gt;1",(P.25!O46))</f>
        <v>26515.304434782607</v>
      </c>
      <c r="G21" s="1">
        <f>SUM(P.25!P46)</f>
        <v>35097.770833333336</v>
      </c>
      <c r="H21" s="1">
        <f>SUM(P.25!Q46)</f>
        <v>31518.684507042253</v>
      </c>
      <c r="I21" s="1">
        <f>SUM(P.25!R46)</f>
        <v>15750</v>
      </c>
      <c r="J21" s="2">
        <v>1819</v>
      </c>
      <c r="K21" s="9">
        <f>RANK(D21,$D$4:$D$25,1)+COUNTIF($D$4:D21,D21)-1</f>
        <v>12</v>
      </c>
      <c r="L21" s="2" t="str">
        <f>INDEX(B4:I25,MATCH(18,K4:K25,0),1)</f>
        <v>Jasło</v>
      </c>
      <c r="M21" s="1">
        <f>INDEX(B4:I25,MATCH(18,K4:K25,0),3)</f>
        <v>17613.050666666666</v>
      </c>
    </row>
    <row r="22" spans="1:13" x14ac:dyDescent="0.25">
      <c r="A22" s="299">
        <v>19</v>
      </c>
      <c r="B22" s="298" t="s">
        <v>87</v>
      </c>
      <c r="C22" s="95">
        <f>SUM(P.25!L47)</f>
        <v>15039.525506329113</v>
      </c>
      <c r="D22" s="297">
        <f>SUM(P.25!M47)</f>
        <v>19238.223750000001</v>
      </c>
      <c r="E22" s="95">
        <f>SUM(P.25!N47)</f>
        <v>10424.767582417582</v>
      </c>
      <c r="F22" s="95">
        <f>SUMIF(P.25!O47,"&gt;1",(P.25!O47))</f>
        <v>21996.634620253164</v>
      </c>
      <c r="G22" s="95">
        <f>SUM(P.25!P47)</f>
        <v>24311.7</v>
      </c>
      <c r="H22" s="95">
        <f>SUM(P.25!Q47)</f>
        <v>27924.593214285713</v>
      </c>
      <c r="I22" s="95">
        <f>SUM(P.25!R47)</f>
        <v>9894.7368421052633</v>
      </c>
      <c r="J22" s="298" t="s">
        <v>137</v>
      </c>
      <c r="K22" s="9">
        <f>RANK(D22,$D$4:$D$25,1)+COUNTIF($D$4:D22,D22)-1</f>
        <v>19</v>
      </c>
      <c r="L22" s="2" t="str">
        <f>INDEX(B4:I25,MATCH(19,K4:K25,0),1)</f>
        <v>Tarnobrzeg</v>
      </c>
      <c r="M22" s="1">
        <f>INDEX(B4:I25,MATCH(19,K4:K25,0),3)</f>
        <v>19238.223750000001</v>
      </c>
    </row>
    <row r="23" spans="1:13" x14ac:dyDescent="0.25">
      <c r="A23" s="9">
        <v>20</v>
      </c>
      <c r="B23" s="2" t="s">
        <v>88</v>
      </c>
      <c r="C23" s="1">
        <f>SUM(P.25!L48)</f>
        <v>18791.869565217392</v>
      </c>
      <c r="D23" s="296">
        <f>SUM(P.25!M48)</f>
        <v>17502.547500000001</v>
      </c>
      <c r="E23" s="1">
        <f>SUM(P.25!N48)</f>
        <v>15372.428285714286</v>
      </c>
      <c r="F23" s="1">
        <f>SUMIF(P.25!O48,"&gt;1",(P.25!O48))</f>
        <v>31909.594375000001</v>
      </c>
      <c r="G23" s="1">
        <f>SUM(P.25!P48)</f>
        <v>33514.66118644068</v>
      </c>
      <c r="H23" s="1">
        <f>SUM(P.25!Q48)</f>
        <v>34685.678709677421</v>
      </c>
      <c r="I23" s="1">
        <f>SUM(P.25!R48)</f>
        <v>19352.941176470587</v>
      </c>
      <c r="J23" s="2">
        <v>1821</v>
      </c>
      <c r="K23" s="9">
        <f>RANK(D23,$D$4:$D$25,1)+COUNTIF($D$4:D23,D23)-1</f>
        <v>17</v>
      </c>
      <c r="L23" s="2" t="str">
        <f>INDEX(B4:I25,MATCH(20,K4:K25,0),1)</f>
        <v>Ustrzyki Dolne</v>
      </c>
      <c r="M23" s="1">
        <f>INDEX(B4:I25,MATCH(20,K4:K25,0),3)</f>
        <v>20668.188571428571</v>
      </c>
    </row>
    <row r="24" spans="1:13" x14ac:dyDescent="0.25">
      <c r="A24" s="299">
        <v>21</v>
      </c>
      <c r="B24" s="298" t="s">
        <v>91</v>
      </c>
      <c r="C24" s="95">
        <f>SUM(P.25!L49)</f>
        <v>20774.599173553717</v>
      </c>
      <c r="D24" s="297">
        <f>SUM(P.25!M49)</f>
        <v>15984.357894736842</v>
      </c>
      <c r="E24" s="95">
        <f>SUM(P.25!N49)</f>
        <v>15361.943445692883</v>
      </c>
      <c r="F24" s="95">
        <f>SUMIF(P.25!O49,"&gt;1",(P.25!O49))</f>
        <v>28646.019558823529</v>
      </c>
      <c r="G24" s="95">
        <f>SUM(P.25!P49)</f>
        <v>30128.816223776223</v>
      </c>
      <c r="H24" s="95">
        <f>SUM(P.25!Q49)</f>
        <v>44715.425000000003</v>
      </c>
      <c r="I24" s="95">
        <f>SUM(P.25!R49)</f>
        <v>11547.169811320755</v>
      </c>
      <c r="J24" s="298" t="s">
        <v>135</v>
      </c>
      <c r="K24" s="9">
        <f>RANK(D24,$D$4:$D$25,1)+COUNTIF($D$4:D24,D24)-1</f>
        <v>15</v>
      </c>
      <c r="L24" s="2" t="str">
        <f>INDEX(B4:I25,MATCH(21,K4:K25,0),1)</f>
        <v>Nisko</v>
      </c>
      <c r="M24" s="1">
        <f>INDEX(B4:I25,MATCH(21,K4:K25,0),3)</f>
        <v>20913.46125</v>
      </c>
    </row>
    <row r="25" spans="1:13" x14ac:dyDescent="0.25">
      <c r="A25" s="9">
        <v>22</v>
      </c>
      <c r="B25" s="11" t="s">
        <v>94</v>
      </c>
      <c r="C25" s="1">
        <f>SUM(P.25!L50)</f>
        <v>18392.965695890409</v>
      </c>
      <c r="D25" s="296">
        <f>SUM(P.25!M50)</f>
        <v>10098.81053030303</v>
      </c>
      <c r="E25" s="1">
        <f>SUM(P.25!N50)</f>
        <v>12347.160524385772</v>
      </c>
      <c r="F25" s="1">
        <f>SUMIF(P.25!O50,"&gt;1",(P.25!O50))</f>
        <v>22106.118038490007</v>
      </c>
      <c r="G25" s="1">
        <f>SUM(P.25!P50)</f>
        <v>34538.310051078319</v>
      </c>
      <c r="H25" s="1">
        <f>SUM(P.25!Q50)</f>
        <v>30333.703615857823</v>
      </c>
      <c r="I25" s="1">
        <f>SUM(P.25!R50)</f>
        <v>12881.823491204332</v>
      </c>
      <c r="J25" s="2">
        <v>1800</v>
      </c>
      <c r="K25" s="9">
        <f>RANK(D25,$D$4:$D$25,1)+COUNTIF($D$4:D25,D25)-1</f>
        <v>7</v>
      </c>
      <c r="L25" s="2" t="str">
        <f>INDEX(B4:I25,MATCH(22,K4:K25,0),1)</f>
        <v>Leżajsk</v>
      </c>
      <c r="M25" s="1">
        <f>INDEX(B4:I25,MATCH(22,K4:K25,0),3)</f>
        <v>25349.94875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  <c r="F27" s="5"/>
    </row>
    <row r="28" spans="1:13" x14ac:dyDescent="0.25">
      <c r="A28" s="294">
        <v>2</v>
      </c>
      <c r="B28" s="295" t="s">
        <v>2</v>
      </c>
      <c r="C28" s="8" t="s">
        <v>143</v>
      </c>
    </row>
    <row r="29" spans="1:13" x14ac:dyDescent="0.25">
      <c r="A29" s="9">
        <v>3</v>
      </c>
      <c r="B29" s="10" t="s">
        <v>3</v>
      </c>
      <c r="C29" s="8" t="s">
        <v>143</v>
      </c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3FC5C-0702-4F46-B053-DD29D4DE84F8}">
  <sheetPr>
    <tabColor theme="0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2" width="14.42578125" style="8" customWidth="1"/>
    <col min="3" max="3" width="12.7109375" style="8" customWidth="1"/>
    <col min="4" max="4" width="12.5703125" style="8" customWidth="1"/>
    <col min="5" max="5" width="12.7109375" style="8" customWidth="1"/>
    <col min="6" max="6" width="13.85546875" style="8" customWidth="1"/>
    <col min="7" max="7" width="13.5703125" style="8" customWidth="1"/>
    <col min="8" max="9" width="13.7109375" style="8" customWidth="1"/>
    <col min="10" max="10" width="11.5703125" style="5" customWidth="1"/>
    <col min="11" max="11" width="6.85546875" style="5" customWidth="1"/>
    <col min="12" max="12" width="13.5703125" style="5" customWidth="1"/>
    <col min="13" max="13" width="11.5703125" style="8" customWidth="1"/>
    <col min="14" max="16384" width="9.140625" style="8"/>
  </cols>
  <sheetData>
    <row r="1" spans="1:13" x14ac:dyDescent="0.25">
      <c r="A1" s="8" t="s">
        <v>146</v>
      </c>
      <c r="B1" s="471">
        <v>2025</v>
      </c>
    </row>
    <row r="2" spans="1:13" x14ac:dyDescent="0.25">
      <c r="A2" s="8" t="s">
        <v>299</v>
      </c>
    </row>
    <row r="3" spans="1:13" x14ac:dyDescent="0.25">
      <c r="A3" s="294">
        <f>SUM(P.!K26)</f>
        <v>0</v>
      </c>
      <c r="B3" s="295" t="s">
        <v>95</v>
      </c>
      <c r="C3" s="294" t="s">
        <v>127</v>
      </c>
      <c r="D3" s="294" t="s">
        <v>126</v>
      </c>
      <c r="E3" s="294" t="s">
        <v>140</v>
      </c>
      <c r="F3" s="294" t="s">
        <v>130</v>
      </c>
      <c r="G3" s="294" t="s">
        <v>141</v>
      </c>
      <c r="H3" s="294" t="s">
        <v>139</v>
      </c>
      <c r="I3" s="294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1">
        <f>SUM(P.25!L27)</f>
        <v>17215.242705882352</v>
      </c>
      <c r="D4" s="1">
        <f>SUM(P.25!M27)</f>
        <v>20668.188571428571</v>
      </c>
      <c r="E4" s="296">
        <f>SUM(P.25!N27)</f>
        <v>18468.831372549019</v>
      </c>
      <c r="F4" s="1">
        <f>SUMIF(P.25!O27,"&gt;1",(P.25!O27))</f>
        <v>32760.230833333335</v>
      </c>
      <c r="G4" s="1">
        <f>SUMIF(P.25!P27,"&gt;1",(P.25!P27))</f>
        <v>30990.075000000001</v>
      </c>
      <c r="H4" s="1">
        <f>SUMIF(P.25!Q27,"&gt;1",(P.25!Q27))</f>
        <v>8284.1247368421045</v>
      </c>
      <c r="I4" s="1">
        <f>SUMIF(P.25!R27,"&gt;1",(P.25!R27))</f>
        <v>12025</v>
      </c>
      <c r="J4" s="2">
        <v>1801</v>
      </c>
      <c r="K4" s="12">
        <f>RANK(E4,$E$4:$E$25,1)+COUNTIF($E$4:E4,E4)-1</f>
        <v>21</v>
      </c>
      <c r="L4" s="2" t="str">
        <f>INDEX(B4:I25,MATCH(1,K4:K25,0),1)</f>
        <v>Jarosław</v>
      </c>
      <c r="M4" s="1">
        <f>INDEX(B4:I25,MATCH(1,K4:K25,0),4)</f>
        <v>7179.6699200000003</v>
      </c>
    </row>
    <row r="5" spans="1:13" x14ac:dyDescent="0.25">
      <c r="A5" s="9">
        <v>2</v>
      </c>
      <c r="B5" s="2" t="s">
        <v>70</v>
      </c>
      <c r="C5" s="1">
        <f>SUM(P.25!L28)</f>
        <v>19766.191826923077</v>
      </c>
      <c r="D5" s="1">
        <f>SUM(P.25!M28)</f>
        <v>9153.7711764705873</v>
      </c>
      <c r="E5" s="296">
        <f>SUM(P.25!N28)</f>
        <v>9294.6093382352956</v>
      </c>
      <c r="F5" s="1">
        <f>SUMIF(P.25!O28,"&gt;1",(P.25!O28))</f>
        <v>21926.968000000001</v>
      </c>
      <c r="G5" s="1">
        <f>SUM(P.25!P28)</f>
        <v>33882.403969465646</v>
      </c>
      <c r="H5" s="1">
        <f>SUM(P.25!Q28)</f>
        <v>49516.699574468083</v>
      </c>
      <c r="I5" s="1">
        <f>SUM(P.25!R28)</f>
        <v>17660.377358490565</v>
      </c>
      <c r="J5" s="2">
        <v>1802</v>
      </c>
      <c r="K5" s="12">
        <f>RANK(E5,$E$4:$E$25,1)+COUNTIF($E$4:E5,E5)-1</f>
        <v>2</v>
      </c>
      <c r="L5" s="11" t="str">
        <f>INDEX(B4:I25,MATCH(2,K4:K25,0),1)</f>
        <v>Brzozów</v>
      </c>
      <c r="M5" s="1">
        <f>INDEX(B4:I25,MATCH(2,K4:K25,0),4)</f>
        <v>9294.6093382352956</v>
      </c>
    </row>
    <row r="6" spans="1:13" x14ac:dyDescent="0.25">
      <c r="A6" s="9">
        <v>3</v>
      </c>
      <c r="B6" s="2" t="s">
        <v>71</v>
      </c>
      <c r="C6" s="1">
        <f>SUM(P.25!L29)</f>
        <v>24909.382870370373</v>
      </c>
      <c r="D6" s="1">
        <f>SUM(P.25!M29)</f>
        <v>7253.38</v>
      </c>
      <c r="E6" s="296">
        <f>SUM(P.25!N29)</f>
        <v>9652.3577173913054</v>
      </c>
      <c r="F6" s="1">
        <f>SUMIF(P.25!O29,"&gt;1",(P.25!O29))</f>
        <v>11656.7925</v>
      </c>
      <c r="G6" s="1">
        <f>SUM(P.25!P29)</f>
        <v>24340.21305882353</v>
      </c>
      <c r="H6" s="1">
        <f>SUM(P.25!Q29)</f>
        <v>34076.923076923078</v>
      </c>
      <c r="I6" s="1">
        <f>SUM(P.25!R29)</f>
        <v>8275.8620689655181</v>
      </c>
      <c r="J6" s="2">
        <v>1803</v>
      </c>
      <c r="K6" s="12">
        <f>RANK(E6,$E$4:$E$25,1)+COUNTIF($E$4:E6,E6)-1</f>
        <v>4</v>
      </c>
      <c r="L6" s="11" t="str">
        <f>INDEX(B4:I25,MATCH(3,K4:K25,0),1)</f>
        <v>Kolbuszowa</v>
      </c>
      <c r="M6" s="1">
        <f>INDEX(B4:I25,MATCH(3,K4:K25,0),4)</f>
        <v>9612.0897777777773</v>
      </c>
    </row>
    <row r="7" spans="1:13" x14ac:dyDescent="0.25">
      <c r="A7" s="9">
        <v>4</v>
      </c>
      <c r="B7" s="2" t="s">
        <v>72</v>
      </c>
      <c r="C7" s="1">
        <f>SUM(P.25!L30)</f>
        <v>16915.526422413794</v>
      </c>
      <c r="D7" s="1">
        <f>SUM(P.25!M30)</f>
        <v>13146.98625</v>
      </c>
      <c r="E7" s="296">
        <f>SUM(P.25!N30)</f>
        <v>7179.6699200000003</v>
      </c>
      <c r="F7" s="1">
        <f>SUMIF(P.25!O30,"&gt;1",(P.25!O30))</f>
        <v>25593.756434782612</v>
      </c>
      <c r="G7" s="1">
        <f>SUM(P.25!P30)</f>
        <v>25844.193548387098</v>
      </c>
      <c r="H7" s="1">
        <f>SUM(P.25!Q30)</f>
        <v>18706.133739837402</v>
      </c>
      <c r="I7" s="1">
        <f>SUM(P.25!R30)</f>
        <v>40426.620000000003</v>
      </c>
      <c r="J7" s="2">
        <v>1804</v>
      </c>
      <c r="K7" s="12">
        <f>RANK(E7,$E$4:$E$25,1)+COUNTIF($E$4:E7,E7)-1</f>
        <v>1</v>
      </c>
      <c r="L7" s="11" t="str">
        <f>INDEX(B4:I25,MATCH(4,K4:K25,0),1)</f>
        <v>Dębica</v>
      </c>
      <c r="M7" s="1">
        <f>INDEX(B4:I25,MATCH(4,K4:K25,0),4)</f>
        <v>9652.3577173913054</v>
      </c>
    </row>
    <row r="8" spans="1:13" x14ac:dyDescent="0.25">
      <c r="A8" s="9">
        <v>5</v>
      </c>
      <c r="B8" s="2" t="s">
        <v>73</v>
      </c>
      <c r="C8" s="1">
        <f>SUM(P.25!L31)</f>
        <v>19743.800962566846</v>
      </c>
      <c r="D8" s="1">
        <f>SUM(P.25!M31)</f>
        <v>17613.050666666666</v>
      </c>
      <c r="E8" s="296">
        <f>SUM(P.25!N31)</f>
        <v>9960.3185333333331</v>
      </c>
      <c r="F8" s="1">
        <f>SUMIF(P.25!O31,"&gt;1",(P.25!O31))</f>
        <v>21041.448360655741</v>
      </c>
      <c r="G8" s="1">
        <f>SUM(P.25!P31)</f>
        <v>36474.390471698112</v>
      </c>
      <c r="H8" s="1">
        <f>SUM(P.25!Q31)</f>
        <v>39148.718687500004</v>
      </c>
      <c r="I8" s="1">
        <f>SUM(P.25!R31)</f>
        <v>16238.344054054054</v>
      </c>
      <c r="J8" s="2">
        <v>1805</v>
      </c>
      <c r="K8" s="12">
        <f>RANK(E8,$E$4:$E$25,1)+COUNTIF($E$4:E8,E8)-1</f>
        <v>6</v>
      </c>
      <c r="L8" s="11" t="str">
        <f>INDEX(B4:I25,MATCH(5,K4:K25,0),1)</f>
        <v>Leżajsk</v>
      </c>
      <c r="M8" s="1">
        <f>INDEX(B4:I25,MATCH(5,K4:K25,0),4)</f>
        <v>9857.1518309859166</v>
      </c>
    </row>
    <row r="9" spans="1:13" x14ac:dyDescent="0.25">
      <c r="A9" s="9">
        <v>6</v>
      </c>
      <c r="B9" s="2" t="s">
        <v>74</v>
      </c>
      <c r="C9" s="1">
        <f>SUM(P.25!L32)</f>
        <v>21030.050721649484</v>
      </c>
      <c r="D9" s="1">
        <f>SUM(P.25!M32)</f>
        <v>17478.610999999997</v>
      </c>
      <c r="E9" s="296">
        <f>SUM(P.25!N32)</f>
        <v>9612.0897777777773</v>
      </c>
      <c r="F9" s="1">
        <f>SUMIF(P.25!O32,"&gt;1",(P.25!O32))</f>
        <v>26057.456249999999</v>
      </c>
      <c r="G9" s="1">
        <f>SUM(P.25!P32)</f>
        <v>58452.892368421053</v>
      </c>
      <c r="H9" s="1">
        <f>SUM(P.25!Q32)</f>
        <v>19882.358285714286</v>
      </c>
      <c r="I9" s="562">
        <f>SUMIF(P.25!R32,"&gt;1",(P.25!R32))</f>
        <v>0</v>
      </c>
      <c r="J9" s="2">
        <v>1806</v>
      </c>
      <c r="K9" s="12">
        <f>RANK(E9,$E$4:$E$25,1)+COUNTIF($E$4:E9,E9)-1</f>
        <v>3</v>
      </c>
      <c r="L9" s="11" t="str">
        <f>INDEX(B4:I25,MATCH(6,K4:K25,0),1)</f>
        <v>Jasło</v>
      </c>
      <c r="M9" s="1">
        <f>INDEX(B4:I25,MATCH(6,K4:K25,0),4)</f>
        <v>9960.3185333333331</v>
      </c>
    </row>
    <row r="10" spans="1:13" x14ac:dyDescent="0.25">
      <c r="A10" s="299">
        <v>7</v>
      </c>
      <c r="B10" s="298" t="s">
        <v>75</v>
      </c>
      <c r="C10" s="95">
        <f>SUM(P.25!L33)</f>
        <v>16338.483195266273</v>
      </c>
      <c r="D10" s="95">
        <f>SUM(P.25!M33)</f>
        <v>13560.481428571427</v>
      </c>
      <c r="E10" s="297">
        <f>SUM(P.25!N33)</f>
        <v>10450.554743589744</v>
      </c>
      <c r="F10" s="95">
        <f>SUMIF(P.25!O33,"&gt;1",(P.25!O33))</f>
        <v>14616.336666666668</v>
      </c>
      <c r="G10" s="95">
        <f>SUM(P.25!P33)</f>
        <v>36613.509012345676</v>
      </c>
      <c r="H10" s="297">
        <f>SUM(P.25!Q33)</f>
        <v>33816.54367088608</v>
      </c>
      <c r="I10" s="95">
        <f>SUM(P.25!R33)</f>
        <v>9939.3939393939399</v>
      </c>
      <c r="J10" s="298" t="s">
        <v>134</v>
      </c>
      <c r="K10" s="12">
        <f>RANK(E10,$E$4:$E$25,1)+COUNTIF($E$4:E10,E10)-1</f>
        <v>8</v>
      </c>
      <c r="L10" s="11" t="str">
        <f>INDEX(B4:I25,MATCH(7,K4:K25,0),1)</f>
        <v>Tarnobrzeg</v>
      </c>
      <c r="M10" s="1">
        <f>INDEX(B4:I25,MATCH(7,K4:K25,0),4)</f>
        <v>10424.767582417582</v>
      </c>
    </row>
    <row r="11" spans="1:13" x14ac:dyDescent="0.25">
      <c r="A11" s="9">
        <v>8</v>
      </c>
      <c r="B11" s="2" t="s">
        <v>76</v>
      </c>
      <c r="C11" s="1">
        <f>SUM(P.25!L35)</f>
        <v>17831.99090909091</v>
      </c>
      <c r="D11" s="1">
        <f>SUM(P.25!M35)</f>
        <v>25349.94875</v>
      </c>
      <c r="E11" s="296">
        <f>SUM(P.25!N35)</f>
        <v>9857.1518309859166</v>
      </c>
      <c r="F11" s="1">
        <f>SUMIF(P.25!O35,"&gt;1",(P.25!O35))</f>
        <v>12182.592554744526</v>
      </c>
      <c r="G11" s="1">
        <f>SUM(P.25!P35)</f>
        <v>33798.138983050849</v>
      </c>
      <c r="H11" s="1">
        <f>SUM(P.25!Q35)</f>
        <v>15035.338666666667</v>
      </c>
      <c r="I11" s="1">
        <f>SUM(P.25!R35)</f>
        <v>10476.190476190477</v>
      </c>
      <c r="J11" s="2">
        <v>1808</v>
      </c>
      <c r="K11" s="12">
        <f>RANK(E11,$E$4:$E$25,1)+COUNTIF($E$4:E11,E11)-1</f>
        <v>5</v>
      </c>
      <c r="L11" s="11" t="str">
        <f>INDEX(B4:I25,MATCH(8,K4:K25,0),1)</f>
        <v>Krosno</v>
      </c>
      <c r="M11" s="1">
        <f>INDEX(B4:I25,MATCH(8,K4:K25,0),4)</f>
        <v>10450.554743589744</v>
      </c>
    </row>
    <row r="12" spans="1:13" x14ac:dyDescent="0.25">
      <c r="A12" s="9">
        <v>9</v>
      </c>
      <c r="B12" s="2" t="s">
        <v>77</v>
      </c>
      <c r="C12" s="1">
        <f>SUM(P.25!L36)</f>
        <v>14347.0075</v>
      </c>
      <c r="D12" s="1">
        <f>SUM(P.25!M36)</f>
        <v>9785.2900000000009</v>
      </c>
      <c r="E12" s="296">
        <f>SUM(P.25!N36)</f>
        <v>11910.110540540541</v>
      </c>
      <c r="F12" s="1">
        <f>SUMIF(P.25!O36,"&gt;1",(P.25!O36))</f>
        <v>22177.651249999999</v>
      </c>
      <c r="G12" s="1">
        <f>SUM(P.25!P36)</f>
        <v>27639.703703703704</v>
      </c>
      <c r="H12" s="296">
        <f>SUMIF(P.25!Q36,"&gt;1",(P.25!Q36))</f>
        <v>0</v>
      </c>
      <c r="I12" s="1">
        <f>SUMIF(P.25!R36,"&gt;1",(P.25!R36))</f>
        <v>10320.76923076923</v>
      </c>
      <c r="J12" s="2">
        <v>1809</v>
      </c>
      <c r="K12" s="12">
        <f>RANK(E12,$E$4:$E$25,1)+COUNTIF($E$4:E12,E12)-1</f>
        <v>13</v>
      </c>
      <c r="L12" s="11" t="str">
        <f>INDEX(B4:I25,MATCH(9,K4:K25,0),1)</f>
        <v>Rzeszów</v>
      </c>
      <c r="M12" s="1">
        <f>INDEX(B4:I25,MATCH(9,K4:K25,0),4)</f>
        <v>11100.79969924812</v>
      </c>
    </row>
    <row r="13" spans="1:13" x14ac:dyDescent="0.25">
      <c r="A13" s="9">
        <v>10</v>
      </c>
      <c r="B13" s="2" t="s">
        <v>78</v>
      </c>
      <c r="C13" s="1">
        <f>SUM(P.25!L37)</f>
        <v>21100.202897196261</v>
      </c>
      <c r="D13" s="1">
        <f>SUM(P.25!M37)</f>
        <v>6174.4281250000004</v>
      </c>
      <c r="E13" s="296">
        <f>SUM(P.25!N37)</f>
        <v>14383.268333333333</v>
      </c>
      <c r="F13" s="1">
        <f>SUMIF(P.25!O37,"&gt;1",(P.25!O37))</f>
        <v>19806.177179487182</v>
      </c>
      <c r="G13" s="1">
        <f>SUM(P.25!P37)</f>
        <v>30002.293043478257</v>
      </c>
      <c r="H13" s="1">
        <f>SUM(P.25!Q37)</f>
        <v>35444.152033898303</v>
      </c>
      <c r="I13" s="1">
        <f>SUM(P.25!R37)</f>
        <v>11956.521739130434</v>
      </c>
      <c r="J13" s="2">
        <v>1810</v>
      </c>
      <c r="K13" s="12">
        <f>RANK(E13,$E$4:$E$25,1)+COUNTIF($E$4:E13,E13)-1</f>
        <v>16</v>
      </c>
      <c r="L13" s="57" t="str">
        <f>INDEX(B4:I25,MATCH(10,K4:K25,0),1)</f>
        <v>Nisko</v>
      </c>
      <c r="M13" s="15">
        <f>INDEX(B4:I25,MATCH(10,K4:K25,0),4)</f>
        <v>11318.09407079646</v>
      </c>
    </row>
    <row r="14" spans="1:13" x14ac:dyDescent="0.25">
      <c r="A14" s="9">
        <v>11</v>
      </c>
      <c r="B14" s="2" t="s">
        <v>79</v>
      </c>
      <c r="C14" s="1">
        <f>SUM(P.25!L38)</f>
        <v>17626.840360824743</v>
      </c>
      <c r="D14" s="1">
        <f>SUM(P.25!M38)</f>
        <v>11511.252500000001</v>
      </c>
      <c r="E14" s="296">
        <f>SUM(P.25!N38)</f>
        <v>11450.537990196079</v>
      </c>
      <c r="F14" s="1">
        <f>SUMIF(P.25!O38,"&gt;1",(P.25!O38))</f>
        <v>11067.973333333333</v>
      </c>
      <c r="G14" s="1">
        <f>SUM(P.25!P38)</f>
        <v>32977.792535211265</v>
      </c>
      <c r="H14" s="1">
        <f>SUM(P.25!Q38)</f>
        <v>32376.172500000004</v>
      </c>
      <c r="I14" s="1">
        <f>SUM(P.25!R38)</f>
        <v>14000</v>
      </c>
      <c r="J14" s="2">
        <v>1811</v>
      </c>
      <c r="K14" s="56">
        <f>RANK(E14,$E$4:$E$25,1)+COUNTIF($E$4:E14,E14)-1</f>
        <v>11</v>
      </c>
      <c r="L14" s="11" t="str">
        <f>INDEX(B4:I25,MATCH(11,K4:K25,0),1)</f>
        <v>Mielec</v>
      </c>
      <c r="M14" s="1">
        <f>INDEX(B4:I25,MATCH(11,K4:K25,0),4)</f>
        <v>11450.537990196079</v>
      </c>
    </row>
    <row r="15" spans="1:13" x14ac:dyDescent="0.25">
      <c r="A15" s="294">
        <v>12</v>
      </c>
      <c r="B15" s="2" t="s">
        <v>80</v>
      </c>
      <c r="C15" s="1">
        <f>SUM(P.25!L39)</f>
        <v>22950.568740740739</v>
      </c>
      <c r="D15" s="1">
        <f>SUM(P.25!M39)</f>
        <v>20913.46125</v>
      </c>
      <c r="E15" s="296">
        <f>SUM(P.25!N39)</f>
        <v>11318.09407079646</v>
      </c>
      <c r="F15" s="1">
        <f>SUMIF(P.25!O39,"&gt;1",(P.25!O39))</f>
        <v>22862.37</v>
      </c>
      <c r="G15" s="1">
        <f>SUM(P.25!P39)</f>
        <v>60783.114035087718</v>
      </c>
      <c r="H15" s="1">
        <f>SUM(P.25!Q39)</f>
        <v>20980.357142857141</v>
      </c>
      <c r="I15" s="1">
        <f>SUM(P.25!R39)</f>
        <v>5454.545454545455</v>
      </c>
      <c r="J15" s="2">
        <v>1812</v>
      </c>
      <c r="K15" s="12">
        <f>RANK(E15,$E$4:$E$25,1)+COUNTIF($E$4:E15,E15)-1</f>
        <v>10</v>
      </c>
      <c r="L15" s="11" t="str">
        <f>INDEX(B4:I25,MATCH(12,K4:K25,0),1)</f>
        <v>Sanok</v>
      </c>
      <c r="M15" s="1">
        <f>INDEX(B4:I25,MATCH(12,K4:K25,0),4)</f>
        <v>11760.912112676056</v>
      </c>
    </row>
    <row r="16" spans="1:13" x14ac:dyDescent="0.25">
      <c r="A16" s="9">
        <v>13</v>
      </c>
      <c r="B16" s="2" t="s">
        <v>81</v>
      </c>
      <c r="C16" s="1">
        <f>SUM(P.25!L40)</f>
        <v>23368.433911290325</v>
      </c>
      <c r="D16" s="1">
        <f>SUM(P.25!M40)</f>
        <v>9671.8372972972975</v>
      </c>
      <c r="E16" s="296">
        <f>SUM(P.25!N40)</f>
        <v>18597.644124999999</v>
      </c>
      <c r="F16" s="1">
        <f>SUMIF(P.25!O40,"&gt;1",(P.25!O40))</f>
        <v>24405.43619047619</v>
      </c>
      <c r="G16" s="1">
        <f>SUM(P.25!P40)</f>
        <v>31429.579649122807</v>
      </c>
      <c r="H16" s="1">
        <f>SUM(P.25!Q40)</f>
        <v>52122.054857142852</v>
      </c>
      <c r="I16" s="1">
        <f>SUM(P.25!R40)</f>
        <v>11666.666666666666</v>
      </c>
      <c r="J16" s="2">
        <v>1814</v>
      </c>
      <c r="K16" s="13">
        <f>RANK(E16,$E$4:$E$25,1)+COUNTIF($E$4:E16,E16)-1</f>
        <v>22</v>
      </c>
      <c r="L16" s="14" t="str">
        <f>INDEX(B4:I25,MATCH(13,K4:K25,0),1)</f>
        <v>Lubaczów</v>
      </c>
      <c r="M16" s="1">
        <f>INDEX(B4:I25,MATCH(13,K4:K25,0),4)</f>
        <v>11910.110540540541</v>
      </c>
    </row>
    <row r="17" spans="1:13" x14ac:dyDescent="0.25">
      <c r="A17" s="9">
        <v>14</v>
      </c>
      <c r="B17" s="2" t="s">
        <v>82</v>
      </c>
      <c r="C17" s="1">
        <f>SUM(P.25!L41)</f>
        <v>18855.229770114944</v>
      </c>
      <c r="D17" s="1">
        <f>SUM(P.25!M41)</f>
        <v>15120.53</v>
      </c>
      <c r="E17" s="296">
        <f>SUM(P.25!N41)</f>
        <v>15478.092470588237</v>
      </c>
      <c r="F17" s="1">
        <f>SUMIF(P.25!O41,"&gt;1",(P.25!O41))</f>
        <v>25674.542000000001</v>
      </c>
      <c r="G17" s="1">
        <f>SUM(P.25!P41)</f>
        <v>32659.126718750002</v>
      </c>
      <c r="H17" s="1">
        <f>SUM(P.25!Q41)</f>
        <v>16189.324675324675</v>
      </c>
      <c r="I17" s="1">
        <f>SUM(P.25!R41)</f>
        <v>6666.666666666667</v>
      </c>
      <c r="J17" s="2">
        <v>1815</v>
      </c>
      <c r="K17" s="13">
        <f>RANK(E17,$E$4:$E$25,1)+COUNTIF($E$4:E17,E17)-1</f>
        <v>19</v>
      </c>
      <c r="L17" s="14" t="str">
        <f>INDEX(B4:I25,MATCH(14,K4:K25,0),1)</f>
        <v>Stalowa Wola</v>
      </c>
      <c r="M17" s="1">
        <f>INDEX(B4:I25,MATCH(14,K4:K25,0),4)</f>
        <v>12231.750729166668</v>
      </c>
    </row>
    <row r="18" spans="1:13" x14ac:dyDescent="0.25">
      <c r="A18" s="299">
        <v>15</v>
      </c>
      <c r="B18" s="298" t="s">
        <v>83</v>
      </c>
      <c r="C18" s="95">
        <f>SUM(P.25!L43)</f>
        <v>15376.536067796609</v>
      </c>
      <c r="D18" s="95">
        <f>SUM(P.25!M43)</f>
        <v>5083.8857307692306</v>
      </c>
      <c r="E18" s="297">
        <f>SUM(P.25!N43)</f>
        <v>11100.79969924812</v>
      </c>
      <c r="F18" s="95">
        <f>SUMIF(P.25!O43,"&gt;1",(P.25!O43))</f>
        <v>19239.378834951458</v>
      </c>
      <c r="G18" s="95">
        <f>SUM(P.25!P43)</f>
        <v>37121.876798780489</v>
      </c>
      <c r="H18" s="95">
        <f>SUM(P.25!Q43)</f>
        <v>38719.998815165876</v>
      </c>
      <c r="I18" s="95">
        <f>SUM(P.25!R43)</f>
        <v>10086.384929577463</v>
      </c>
      <c r="J18" s="298" t="s">
        <v>136</v>
      </c>
      <c r="K18" s="9">
        <f>RANK(E18,$E$4:$E$25,1)+COUNTIF($E$4:E18,E18)-1</f>
        <v>9</v>
      </c>
      <c r="L18" s="561" t="str">
        <f>INDEX(B4:I25,MATCH(15,K4:K25,0),1)</f>
        <v>Podkarpacie</v>
      </c>
      <c r="M18" s="296">
        <f>INDEX(B4:I25,MATCH(15,K4:K25,0),4)</f>
        <v>12347.160524385772</v>
      </c>
    </row>
    <row r="19" spans="1:13" x14ac:dyDescent="0.25">
      <c r="A19" s="9">
        <v>16</v>
      </c>
      <c r="B19" s="2" t="s">
        <v>84</v>
      </c>
      <c r="C19" s="1">
        <f>SUM(P.25!L44)</f>
        <v>21536.895444444446</v>
      </c>
      <c r="D19" s="1">
        <f>SUM(P.25!M44)</f>
        <v>10350.701666666666</v>
      </c>
      <c r="E19" s="296">
        <f>SUM(P.25!N44)</f>
        <v>11760.912112676056</v>
      </c>
      <c r="F19" s="1">
        <f>SUMIF(P.25!O44,"&gt;1",(P.25!O44))</f>
        <v>16076.913125000001</v>
      </c>
      <c r="G19" s="1">
        <f>SUM(P.25!P44)</f>
        <v>38178.404579439251</v>
      </c>
      <c r="H19" s="1">
        <f>SUM(P.25!Q44)</f>
        <v>16894.621830985914</v>
      </c>
      <c r="I19" s="1">
        <f>SUM(P.25!R44)</f>
        <v>14582.35294117647</v>
      </c>
      <c r="J19" s="2">
        <v>1817</v>
      </c>
      <c r="K19" s="9">
        <f>RANK(E19,$E$4:$E$25,1)+COUNTIF($E$4:E19,E19)-1</f>
        <v>12</v>
      </c>
      <c r="L19" s="2" t="str">
        <f>INDEX(B4:I25,MATCH(16,K4:K25,0),1)</f>
        <v>Łańcut</v>
      </c>
      <c r="M19" s="1">
        <f>INDEX(B4:I25,MATCH(16,K4:K25,0),4)</f>
        <v>14383.268333333333</v>
      </c>
    </row>
    <row r="20" spans="1:13" x14ac:dyDescent="0.25">
      <c r="A20" s="9">
        <v>17</v>
      </c>
      <c r="B20" s="2" t="s">
        <v>85</v>
      </c>
      <c r="C20" s="1">
        <f>SUM(P.25!L45)</f>
        <v>17818.265393939393</v>
      </c>
      <c r="D20" s="1">
        <f>SUM(P.25!M45)</f>
        <v>12213.680476190479</v>
      </c>
      <c r="E20" s="296">
        <f>SUM(P.25!N45)</f>
        <v>12231.750729166668</v>
      </c>
      <c r="F20" s="1">
        <f>SUMIF(P.25!O45,"&gt;1",(P.25!O45))</f>
        <v>23889.046818181818</v>
      </c>
      <c r="G20" s="1">
        <f>SUM(P.25!P45)</f>
        <v>33058.030508474578</v>
      </c>
      <c r="H20" s="1">
        <f>SUM(P.25!Q45)</f>
        <v>18819.021555555555</v>
      </c>
      <c r="I20" s="1">
        <f>SUM(P.25!R45)</f>
        <v>5166.666666666667</v>
      </c>
      <c r="J20" s="2">
        <v>1818</v>
      </c>
      <c r="K20" s="9">
        <f>RANK(E20,$E$4:$E$25,1)+COUNTIF($E$4:E20,E20)-1</f>
        <v>14</v>
      </c>
      <c r="L20" s="2" t="str">
        <f>INDEX(B4:I25,MATCH(17,K4:K25,0),1)</f>
        <v>Przemyśl</v>
      </c>
      <c r="M20" s="1">
        <f>INDEX(B4:I25,MATCH(17,K4:K25,0),4)</f>
        <v>15361.943445692883</v>
      </c>
    </row>
    <row r="21" spans="1:13" x14ac:dyDescent="0.25">
      <c r="A21" s="9">
        <v>18</v>
      </c>
      <c r="B21" s="2" t="s">
        <v>86</v>
      </c>
      <c r="C21" s="1">
        <f>SUM(P.25!L46)</f>
        <v>15305.461784232366</v>
      </c>
      <c r="D21" s="1">
        <f>SUM(P.25!M46)</f>
        <v>13517.788409090908</v>
      </c>
      <c r="E21" s="296">
        <f>SUM(P.25!N46)</f>
        <v>17291.258000000002</v>
      </c>
      <c r="F21" s="1">
        <f>SUMIF(P.25!O46,"&gt;1",(P.25!O46))</f>
        <v>26515.304434782607</v>
      </c>
      <c r="G21" s="1">
        <f>SUM(P.25!P46)</f>
        <v>35097.770833333336</v>
      </c>
      <c r="H21" s="1">
        <f>SUM(P.25!Q46)</f>
        <v>31518.684507042253</v>
      </c>
      <c r="I21" s="1">
        <f>SUM(P.25!R46)</f>
        <v>15750</v>
      </c>
      <c r="J21" s="2">
        <v>1819</v>
      </c>
      <c r="K21" s="9">
        <f>RANK(E21,$E$4:$E$25,1)+COUNTIF($E$4:E21,E21)-1</f>
        <v>20</v>
      </c>
      <c r="L21" s="2" t="str">
        <f>INDEX(B4:I25,MATCH(18,K4:K25,0),1)</f>
        <v>Lesko</v>
      </c>
      <c r="M21" s="1">
        <f>INDEX(B4:I25,MATCH(18,K4:K25,0),4)</f>
        <v>15372.428285714286</v>
      </c>
    </row>
    <row r="22" spans="1:13" x14ac:dyDescent="0.25">
      <c r="A22" s="299">
        <v>19</v>
      </c>
      <c r="B22" s="298" t="s">
        <v>87</v>
      </c>
      <c r="C22" s="95">
        <f>SUM(P.25!L47)</f>
        <v>15039.525506329113</v>
      </c>
      <c r="D22" s="95">
        <f>SUM(P.25!M47)</f>
        <v>19238.223750000001</v>
      </c>
      <c r="E22" s="297">
        <f>SUM(P.25!N47)</f>
        <v>10424.767582417582</v>
      </c>
      <c r="F22" s="95">
        <f>SUMIF(P.25!O47,"&gt;1",(P.25!O47))</f>
        <v>21996.634620253164</v>
      </c>
      <c r="G22" s="95">
        <f>SUM(P.25!P47)</f>
        <v>24311.7</v>
      </c>
      <c r="H22" s="95">
        <f>SUM(P.25!Q47)</f>
        <v>27924.593214285713</v>
      </c>
      <c r="I22" s="95">
        <f>SUM(P.25!R47)</f>
        <v>9894.7368421052633</v>
      </c>
      <c r="J22" s="298" t="s">
        <v>137</v>
      </c>
      <c r="K22" s="9">
        <f>RANK(E22,$E$4:$E$25,1)+COUNTIF($E$4:E22,E22)-1</f>
        <v>7</v>
      </c>
      <c r="L22" s="2" t="str">
        <f>INDEX(B4:I25,MATCH(19,K4:K25,0),1)</f>
        <v>Ropczyce</v>
      </c>
      <c r="M22" s="1">
        <f>INDEX(B4:I25,MATCH(19,K4:K25,0),4)</f>
        <v>15478.092470588237</v>
      </c>
    </row>
    <row r="23" spans="1:13" x14ac:dyDescent="0.25">
      <c r="A23" s="9">
        <v>20</v>
      </c>
      <c r="B23" s="2" t="s">
        <v>88</v>
      </c>
      <c r="C23" s="1">
        <f>SUM(P.25!L48)</f>
        <v>18791.869565217392</v>
      </c>
      <c r="D23" s="1">
        <f>SUM(P.25!M48)</f>
        <v>17502.547500000001</v>
      </c>
      <c r="E23" s="296">
        <f>SUM(P.25!N48)</f>
        <v>15372.428285714286</v>
      </c>
      <c r="F23" s="1">
        <f>SUMIF(P.25!O48,"&gt;1",(P.25!O48))</f>
        <v>31909.594375000001</v>
      </c>
      <c r="G23" s="1">
        <f>SUM(P.25!P48)</f>
        <v>33514.66118644068</v>
      </c>
      <c r="H23" s="1">
        <f>SUM(P.25!Q48)</f>
        <v>34685.678709677421</v>
      </c>
      <c r="I23" s="1">
        <f>SUM(P.25!R48)</f>
        <v>19352.941176470587</v>
      </c>
      <c r="J23" s="2">
        <v>1821</v>
      </c>
      <c r="K23" s="9">
        <f>RANK(E23,$E$4:$E$25,1)+COUNTIF($E$4:E23,E23)-1</f>
        <v>18</v>
      </c>
      <c r="L23" s="2" t="str">
        <f>INDEX(B4:I25,MATCH(20,K4:K25,0),1)</f>
        <v>Strzyżów</v>
      </c>
      <c r="M23" s="1">
        <f>INDEX(B4:I25,MATCH(20,K4:K25,0),4)</f>
        <v>17291.258000000002</v>
      </c>
    </row>
    <row r="24" spans="1:13" x14ac:dyDescent="0.25">
      <c r="A24" s="299">
        <v>21</v>
      </c>
      <c r="B24" s="298" t="s">
        <v>91</v>
      </c>
      <c r="C24" s="95">
        <f>SUM(P.25!L49)</f>
        <v>20774.599173553717</v>
      </c>
      <c r="D24" s="95">
        <f>SUM(P.25!M49)</f>
        <v>15984.357894736842</v>
      </c>
      <c r="E24" s="297">
        <f>SUM(P.25!N49)</f>
        <v>15361.943445692883</v>
      </c>
      <c r="F24" s="95">
        <f>SUMIF(P.25!O49,"&gt;1",(P.25!O49))</f>
        <v>28646.019558823529</v>
      </c>
      <c r="G24" s="95">
        <f>SUM(P.25!P49)</f>
        <v>30128.816223776223</v>
      </c>
      <c r="H24" s="95">
        <f>SUM(P.25!Q49)</f>
        <v>44715.425000000003</v>
      </c>
      <c r="I24" s="95">
        <f>SUM(P.25!R49)</f>
        <v>11547.169811320755</v>
      </c>
      <c r="J24" s="298" t="s">
        <v>135</v>
      </c>
      <c r="K24" s="9">
        <f>RANK(E24,$E$4:$E$25,1)+COUNTIF($E$4:E24,E24)-1</f>
        <v>17</v>
      </c>
      <c r="L24" s="2" t="str">
        <f>INDEX(B4:I25,MATCH(21,K4:K25,0),1)</f>
        <v>Ustrzyki Dolne</v>
      </c>
      <c r="M24" s="1">
        <f>INDEX(B4:I25,MATCH(21,K4:K25,0),4)</f>
        <v>18468.831372549019</v>
      </c>
    </row>
    <row r="25" spans="1:13" x14ac:dyDescent="0.25">
      <c r="A25" s="9">
        <v>22</v>
      </c>
      <c r="B25" s="11" t="s">
        <v>94</v>
      </c>
      <c r="C25" s="1">
        <f>SUM(P.25!L50)</f>
        <v>18392.965695890409</v>
      </c>
      <c r="D25" s="1">
        <f>SUM(P.25!M50)</f>
        <v>10098.81053030303</v>
      </c>
      <c r="E25" s="296">
        <f>SUM(P.25!N50)</f>
        <v>12347.160524385772</v>
      </c>
      <c r="F25" s="1">
        <f>SUMIF(P.25!O50,"&gt;1",(P.25!O50))</f>
        <v>22106.118038490007</v>
      </c>
      <c r="G25" s="1">
        <f>SUM(P.25!P50)</f>
        <v>34538.310051078319</v>
      </c>
      <c r="H25" s="1">
        <f>SUM(P.25!Q50)</f>
        <v>30333.703615857823</v>
      </c>
      <c r="I25" s="1">
        <f>SUM(P.25!R50)</f>
        <v>12881.823491204332</v>
      </c>
      <c r="J25" s="2">
        <v>1800</v>
      </c>
      <c r="K25" s="9">
        <f>RANK(E25,$E$4:$E$25,1)+COUNTIF($E$4:E25,E25)-1</f>
        <v>15</v>
      </c>
      <c r="L25" s="2" t="str">
        <f>INDEX(B4:I25,MATCH(22,K4:K25,0),1)</f>
        <v>Przeworsk</v>
      </c>
      <c r="M25" s="1">
        <f>INDEX(B4:I25,MATCH(22,K4:K25,0),4)</f>
        <v>18597.644124999999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  <c r="F27" s="5"/>
    </row>
    <row r="28" spans="1:13" x14ac:dyDescent="0.25">
      <c r="A28" s="9">
        <v>2</v>
      </c>
      <c r="B28" s="10" t="s">
        <v>2</v>
      </c>
      <c r="C28" s="8" t="s">
        <v>143</v>
      </c>
    </row>
    <row r="29" spans="1:13" x14ac:dyDescent="0.25">
      <c r="A29" s="294">
        <v>3</v>
      </c>
      <c r="B29" s="295" t="s">
        <v>3</v>
      </c>
      <c r="C29" s="8" t="s">
        <v>143</v>
      </c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CD7A2-85C7-42A5-9E76-BE3A5EA501AC}">
  <sheetPr>
    <tabColor theme="0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3" width="13.42578125" style="8" customWidth="1"/>
    <col min="4" max="4" width="12.85546875" style="8" customWidth="1"/>
    <col min="5" max="6" width="13.140625" style="8" customWidth="1"/>
    <col min="7" max="7" width="12.28515625" style="8" customWidth="1"/>
    <col min="8" max="9" width="13" style="8" customWidth="1"/>
    <col min="10" max="10" width="11.5703125" style="5" customWidth="1"/>
    <col min="11" max="11" width="7.28515625" style="5" customWidth="1"/>
    <col min="12" max="12" width="13.85546875" style="5" customWidth="1"/>
    <col min="13" max="13" width="11.5703125" style="8" customWidth="1"/>
    <col min="14" max="16384" width="9.140625" style="8"/>
  </cols>
  <sheetData>
    <row r="1" spans="1:13" x14ac:dyDescent="0.25">
      <c r="A1" s="8" t="s">
        <v>145</v>
      </c>
      <c r="B1" s="471">
        <v>2025</v>
      </c>
    </row>
    <row r="2" spans="1:13" x14ac:dyDescent="0.25">
      <c r="A2" s="8" t="s">
        <v>299</v>
      </c>
    </row>
    <row r="3" spans="1:13" x14ac:dyDescent="0.25">
      <c r="A3" s="294">
        <f>SUM(P.!K26)</f>
        <v>0</v>
      </c>
      <c r="B3" s="295" t="s">
        <v>95</v>
      </c>
      <c r="C3" s="294" t="s">
        <v>127</v>
      </c>
      <c r="D3" s="294" t="s">
        <v>126</v>
      </c>
      <c r="E3" s="294" t="s">
        <v>140</v>
      </c>
      <c r="F3" s="294" t="s">
        <v>130</v>
      </c>
      <c r="G3" s="294" t="s">
        <v>141</v>
      </c>
      <c r="H3" s="294" t="s">
        <v>139</v>
      </c>
      <c r="I3" s="294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1">
        <f>SUM(P.25!L27)</f>
        <v>17215.242705882352</v>
      </c>
      <c r="D4" s="1">
        <f>SUM(P.25!M27)</f>
        <v>20668.188571428571</v>
      </c>
      <c r="E4" s="1">
        <f>SUM(P.25!N27)</f>
        <v>18468.831372549019</v>
      </c>
      <c r="F4" s="296">
        <f>SUMIF(P.25!O27,"&gt;1",(P.25!O27))</f>
        <v>32760.230833333335</v>
      </c>
      <c r="G4" s="1">
        <f>SUMIF(P.25!P27,"&gt;1",(P.25!P27))</f>
        <v>30990.075000000001</v>
      </c>
      <c r="H4" s="1">
        <f>SUMIF(P.25!Q27,"&gt;1",(P.25!Q27))</f>
        <v>8284.1247368421045</v>
      </c>
      <c r="I4" s="1">
        <f>SUMIF(P.25!R27,"&gt;1",(P.25!R27))</f>
        <v>12025</v>
      </c>
      <c r="J4" s="2">
        <v>1801</v>
      </c>
      <c r="K4" s="12">
        <f>RANK(F4,$F$4:$F$25,1)+COUNTIF($F$4:F4,F4)-1</f>
        <v>22</v>
      </c>
      <c r="L4" s="2" t="str">
        <f>INDEX(B4:I25,MATCH(1,K4:K25,0),1)</f>
        <v>Mielec</v>
      </c>
      <c r="M4" s="1">
        <f>INDEX(B4:I25,MATCH(1,K4:K25,0),5)</f>
        <v>11067.973333333333</v>
      </c>
    </row>
    <row r="5" spans="1:13" x14ac:dyDescent="0.25">
      <c r="A5" s="9">
        <v>2</v>
      </c>
      <c r="B5" s="2" t="s">
        <v>70</v>
      </c>
      <c r="C5" s="1">
        <f>SUM(P.25!L28)</f>
        <v>19766.191826923077</v>
      </c>
      <c r="D5" s="1">
        <f>SUM(P.25!M28)</f>
        <v>9153.7711764705873</v>
      </c>
      <c r="E5" s="1">
        <f>SUM(P.25!N28)</f>
        <v>9294.6093382352956</v>
      </c>
      <c r="F5" s="296">
        <f>SUMIF(P.25!O28,"&gt;1",(P.25!O28))</f>
        <v>21926.968000000001</v>
      </c>
      <c r="G5" s="1">
        <f>SUM(P.25!P28)</f>
        <v>33882.403969465646</v>
      </c>
      <c r="H5" s="1">
        <f>SUM(P.25!Q28)</f>
        <v>49516.699574468083</v>
      </c>
      <c r="I5" s="1">
        <f>SUM(P.25!R28)</f>
        <v>17660.377358490565</v>
      </c>
      <c r="J5" s="2">
        <v>1802</v>
      </c>
      <c r="K5" s="12">
        <f>RANK(F5,$F$4:$F$25,1)+COUNTIF($F$4:F5,F5)-1</f>
        <v>9</v>
      </c>
      <c r="L5" s="11" t="str">
        <f>INDEX(B4:I25,MATCH(2,K4:K25,0),1)</f>
        <v>Dębica</v>
      </c>
      <c r="M5" s="1">
        <f>INDEX(B4:I25,MATCH(2,K4:K25,0),5)</f>
        <v>11656.7925</v>
      </c>
    </row>
    <row r="6" spans="1:13" x14ac:dyDescent="0.25">
      <c r="A6" s="9">
        <v>3</v>
      </c>
      <c r="B6" s="2" t="s">
        <v>71</v>
      </c>
      <c r="C6" s="1">
        <f>SUM(P.25!L29)</f>
        <v>24909.382870370373</v>
      </c>
      <c r="D6" s="1">
        <f>SUM(P.25!M29)</f>
        <v>7253.38</v>
      </c>
      <c r="E6" s="1">
        <f>SUM(P.25!N29)</f>
        <v>9652.3577173913054</v>
      </c>
      <c r="F6" s="296">
        <f>SUMIF(P.25!O29,"&gt;1",(P.25!O29))</f>
        <v>11656.7925</v>
      </c>
      <c r="G6" s="1">
        <f>SUM(P.25!P29)</f>
        <v>24340.21305882353</v>
      </c>
      <c r="H6" s="1">
        <f>SUM(P.25!Q29)</f>
        <v>34076.923076923078</v>
      </c>
      <c r="I6" s="1">
        <f>SUM(P.25!R29)</f>
        <v>8275.8620689655181</v>
      </c>
      <c r="J6" s="2">
        <v>1803</v>
      </c>
      <c r="K6" s="12">
        <f>RANK(F6,$F$4:$F$25,1)+COUNTIF($F$4:F6,F6)-1</f>
        <v>2</v>
      </c>
      <c r="L6" s="11" t="str">
        <f>INDEX(B4:I25,MATCH(3,K4:K25,0),1)</f>
        <v>Leżajsk</v>
      </c>
      <c r="M6" s="1">
        <f>INDEX(B4:I25,MATCH(3,K4:K25,0),5)</f>
        <v>12182.592554744526</v>
      </c>
    </row>
    <row r="7" spans="1:13" x14ac:dyDescent="0.25">
      <c r="A7" s="9">
        <v>4</v>
      </c>
      <c r="B7" s="2" t="s">
        <v>72</v>
      </c>
      <c r="C7" s="1">
        <f>SUM(P.25!L30)</f>
        <v>16915.526422413794</v>
      </c>
      <c r="D7" s="1">
        <f>SUM(P.25!M30)</f>
        <v>13146.98625</v>
      </c>
      <c r="E7" s="1">
        <f>SUM(P.25!N30)</f>
        <v>7179.6699200000003</v>
      </c>
      <c r="F7" s="296">
        <f>SUMIF(P.25!O30,"&gt;1",(P.25!O30))</f>
        <v>25593.756434782612</v>
      </c>
      <c r="G7" s="1">
        <f>SUM(P.25!P30)</f>
        <v>25844.193548387098</v>
      </c>
      <c r="H7" s="1">
        <f>SUM(P.25!Q30)</f>
        <v>18706.133739837402</v>
      </c>
      <c r="I7" s="1">
        <f>SUM(P.25!R30)</f>
        <v>40426.620000000003</v>
      </c>
      <c r="J7" s="2">
        <v>1804</v>
      </c>
      <c r="K7" s="12">
        <f>RANK(F7,$F$4:$F$25,1)+COUNTIF($F$4:F7,F7)-1</f>
        <v>16</v>
      </c>
      <c r="L7" s="11" t="str">
        <f>INDEX(B4:I25,MATCH(4,K4:K25,0),1)</f>
        <v>Krosno</v>
      </c>
      <c r="M7" s="1">
        <f>INDEX(B4:I25,MATCH(4,K4:K25,0),5)</f>
        <v>14616.336666666668</v>
      </c>
    </row>
    <row r="8" spans="1:13" x14ac:dyDescent="0.25">
      <c r="A8" s="9">
        <v>5</v>
      </c>
      <c r="B8" s="2" t="s">
        <v>73</v>
      </c>
      <c r="C8" s="1">
        <f>SUM(P.25!L31)</f>
        <v>19743.800962566846</v>
      </c>
      <c r="D8" s="1">
        <f>SUM(P.25!M31)</f>
        <v>17613.050666666666</v>
      </c>
      <c r="E8" s="1">
        <f>SUM(P.25!N31)</f>
        <v>9960.3185333333331</v>
      </c>
      <c r="F8" s="296">
        <f>SUMIF(P.25!O31,"&gt;1",(P.25!O31))</f>
        <v>21041.448360655741</v>
      </c>
      <c r="G8" s="1">
        <f>SUM(P.25!P31)</f>
        <v>36474.390471698112</v>
      </c>
      <c r="H8" s="1">
        <f>SUM(P.25!Q31)</f>
        <v>39148.718687500004</v>
      </c>
      <c r="I8" s="1">
        <f>SUM(P.25!R31)</f>
        <v>16238.344054054054</v>
      </c>
      <c r="J8" s="2">
        <v>1805</v>
      </c>
      <c r="K8" s="12">
        <f>RANK(F8,$F$4:$F$25,1)+COUNTIF($F$4:F8,F8)-1</f>
        <v>8</v>
      </c>
      <c r="L8" s="11" t="str">
        <f>INDEX(B4:I25,MATCH(5,K4:K25,0),1)</f>
        <v>Sanok</v>
      </c>
      <c r="M8" s="1">
        <f>INDEX(B4:I25,MATCH(5,K4:K25,0),5)</f>
        <v>16076.913125000001</v>
      </c>
    </row>
    <row r="9" spans="1:13" x14ac:dyDescent="0.25">
      <c r="A9" s="9">
        <v>6</v>
      </c>
      <c r="B9" s="2" t="s">
        <v>74</v>
      </c>
      <c r="C9" s="1">
        <f>SUM(P.25!L32)</f>
        <v>21030.050721649484</v>
      </c>
      <c r="D9" s="1">
        <f>SUM(P.25!M32)</f>
        <v>17478.610999999997</v>
      </c>
      <c r="E9" s="1">
        <f>SUM(P.25!N32)</f>
        <v>9612.0897777777773</v>
      </c>
      <c r="F9" s="296">
        <f>SUMIF(P.25!O32,"&gt;1",(P.25!O32))</f>
        <v>26057.456249999999</v>
      </c>
      <c r="G9" s="1">
        <f>SUM(P.25!P32)</f>
        <v>58452.892368421053</v>
      </c>
      <c r="H9" s="1">
        <f>SUM(P.25!Q32)</f>
        <v>19882.358285714286</v>
      </c>
      <c r="I9" s="562">
        <f>SUMIF(P.25!R32,"&gt;1",(P.25!R32))</f>
        <v>0</v>
      </c>
      <c r="J9" s="2">
        <v>1806</v>
      </c>
      <c r="K9" s="12">
        <f>RANK(F9,$F$4:$F$25,1)+COUNTIF($F$4:F9,F9)-1</f>
        <v>18</v>
      </c>
      <c r="L9" s="11" t="str">
        <f>INDEX(B4:I25,MATCH(6,K4:K25,0),1)</f>
        <v>Rzeszów</v>
      </c>
      <c r="M9" s="1">
        <f>INDEX(B4:I25,MATCH(6,K4:K25,0),5)</f>
        <v>19239.378834951458</v>
      </c>
    </row>
    <row r="10" spans="1:13" x14ac:dyDescent="0.25">
      <c r="A10" s="299">
        <v>7</v>
      </c>
      <c r="B10" s="298" t="s">
        <v>75</v>
      </c>
      <c r="C10" s="95">
        <f>SUM(P.25!L33)</f>
        <v>16338.483195266273</v>
      </c>
      <c r="D10" s="95">
        <f>SUM(P.25!M33)</f>
        <v>13560.481428571427</v>
      </c>
      <c r="E10" s="95">
        <f>SUM(P.25!N33)</f>
        <v>10450.554743589744</v>
      </c>
      <c r="F10" s="297">
        <f>SUMIF(P.25!O33,"&gt;1",(P.25!O33))</f>
        <v>14616.336666666668</v>
      </c>
      <c r="G10" s="95">
        <f>SUM(P.25!P33)</f>
        <v>36613.509012345676</v>
      </c>
      <c r="H10" s="95">
        <f>SUM(P.25!Q33)</f>
        <v>33816.54367088608</v>
      </c>
      <c r="I10" s="95">
        <f>SUM(P.25!R33)</f>
        <v>9939.3939393939399</v>
      </c>
      <c r="J10" s="298" t="s">
        <v>134</v>
      </c>
      <c r="K10" s="12">
        <f>RANK(F10,$F$4:$F$25,1)+COUNTIF($F$4:F10,F10)-1</f>
        <v>4</v>
      </c>
      <c r="L10" s="11" t="str">
        <f>INDEX(B4:I25,MATCH(7,K4:K25,0),1)</f>
        <v>Łańcut</v>
      </c>
      <c r="M10" s="1">
        <f>INDEX(B4:I25,MATCH(7,K4:K25,0),5)</f>
        <v>19806.177179487182</v>
      </c>
    </row>
    <row r="11" spans="1:13" x14ac:dyDescent="0.25">
      <c r="A11" s="9">
        <v>8</v>
      </c>
      <c r="B11" s="2" t="s">
        <v>76</v>
      </c>
      <c r="C11" s="1">
        <f>SUM(P.25!L35)</f>
        <v>17831.99090909091</v>
      </c>
      <c r="D11" s="1">
        <f>SUM(P.25!M35)</f>
        <v>25349.94875</v>
      </c>
      <c r="E11" s="1">
        <f>SUM(P.25!N35)</f>
        <v>9857.1518309859166</v>
      </c>
      <c r="F11" s="296">
        <f>SUMIF(P.25!O35,"&gt;1",(P.25!O35))</f>
        <v>12182.592554744526</v>
      </c>
      <c r="G11" s="1">
        <f>SUM(P.25!P35)</f>
        <v>33798.138983050849</v>
      </c>
      <c r="H11" s="1">
        <f>SUM(P.25!Q35)</f>
        <v>15035.338666666667</v>
      </c>
      <c r="I11" s="1">
        <f>SUM(P.25!R35)</f>
        <v>10476.190476190477</v>
      </c>
      <c r="J11" s="2">
        <v>1808</v>
      </c>
      <c r="K11" s="56">
        <f>RANK(F11,$F$4:$F$25,1)+COUNTIF($F$4:F11,F11)-1</f>
        <v>3</v>
      </c>
      <c r="L11" s="57" t="str">
        <f>INDEX(B4:I25,MATCH(8,K4:K25,0),1)</f>
        <v>Jasło</v>
      </c>
      <c r="M11" s="15">
        <f>INDEX(B4:I25,MATCH(8,K4:K25,0),5)</f>
        <v>21041.448360655741</v>
      </c>
    </row>
    <row r="12" spans="1:13" x14ac:dyDescent="0.25">
      <c r="A12" s="9">
        <v>9</v>
      </c>
      <c r="B12" s="2" t="s">
        <v>77</v>
      </c>
      <c r="C12" s="1">
        <f>SUM(P.25!L36)</f>
        <v>14347.0075</v>
      </c>
      <c r="D12" s="1">
        <f>SUM(P.25!M36)</f>
        <v>9785.2900000000009</v>
      </c>
      <c r="E12" s="1">
        <f>SUM(P.25!N36)</f>
        <v>11910.110540540541</v>
      </c>
      <c r="F12" s="296">
        <f>SUMIF(P.25!O36,"&gt;1",(P.25!O36))</f>
        <v>22177.651249999999</v>
      </c>
      <c r="G12" s="1">
        <f>SUM(P.25!P36)</f>
        <v>27639.703703703704</v>
      </c>
      <c r="H12" s="296">
        <f>SUMIF(P.25!Q36,"&gt;1",(P.25!Q36))</f>
        <v>0</v>
      </c>
      <c r="I12" s="1">
        <f>SUMIF(P.25!R36,"&gt;1",(P.25!R36))</f>
        <v>10320.76923076923</v>
      </c>
      <c r="J12" s="2">
        <v>1809</v>
      </c>
      <c r="K12" s="12">
        <f>RANK(F12,$F$4:$F$25,1)+COUNTIF($F$4:F12,F12)-1</f>
        <v>12</v>
      </c>
      <c r="L12" s="11" t="str">
        <f>INDEX(B4:I25,MATCH(9,K4:K25,0),1)</f>
        <v>Brzozów</v>
      </c>
      <c r="M12" s="1">
        <f>INDEX(B4:I25,MATCH(9,K4:K25,0),5)</f>
        <v>21926.968000000001</v>
      </c>
    </row>
    <row r="13" spans="1:13" x14ac:dyDescent="0.25">
      <c r="A13" s="9">
        <v>10</v>
      </c>
      <c r="B13" s="2" t="s">
        <v>78</v>
      </c>
      <c r="C13" s="1">
        <f>SUM(P.25!L37)</f>
        <v>21100.202897196261</v>
      </c>
      <c r="D13" s="1">
        <f>SUM(P.25!M37)</f>
        <v>6174.4281250000004</v>
      </c>
      <c r="E13" s="1">
        <f>SUM(P.25!N37)</f>
        <v>14383.268333333333</v>
      </c>
      <c r="F13" s="296">
        <f>SUMIF(P.25!O37,"&gt;1",(P.25!O37))</f>
        <v>19806.177179487182</v>
      </c>
      <c r="G13" s="1">
        <f>SUM(P.25!P37)</f>
        <v>30002.293043478257</v>
      </c>
      <c r="H13" s="1">
        <f>SUM(P.25!Q37)</f>
        <v>35444.152033898303</v>
      </c>
      <c r="I13" s="1">
        <f>SUM(P.25!R37)</f>
        <v>11956.521739130434</v>
      </c>
      <c r="J13" s="2">
        <v>1810</v>
      </c>
      <c r="K13" s="12">
        <f>RANK(F13,$F$4:$F$25,1)+COUNTIF($F$4:F13,F13)-1</f>
        <v>7</v>
      </c>
      <c r="L13" s="11" t="str">
        <f>INDEX(B4:I25,MATCH(10,K4:K25,0),1)</f>
        <v>Tarnobrzeg</v>
      </c>
      <c r="M13" s="1">
        <f>INDEX(B4:I25,MATCH(10,K4:K25,0),5)</f>
        <v>21996.634620253164</v>
      </c>
    </row>
    <row r="14" spans="1:13" x14ac:dyDescent="0.25">
      <c r="A14" s="9">
        <v>11</v>
      </c>
      <c r="B14" s="2" t="s">
        <v>79</v>
      </c>
      <c r="C14" s="1">
        <f>SUM(P.25!L38)</f>
        <v>17626.840360824743</v>
      </c>
      <c r="D14" s="1">
        <f>SUM(P.25!M38)</f>
        <v>11511.252500000001</v>
      </c>
      <c r="E14" s="1">
        <f>SUM(P.25!N38)</f>
        <v>11450.537990196079</v>
      </c>
      <c r="F14" s="296">
        <f>SUMIF(P.25!O38,"&gt;1",(P.25!O38))</f>
        <v>11067.973333333333</v>
      </c>
      <c r="G14" s="1">
        <f>SUM(P.25!P38)</f>
        <v>32977.792535211265</v>
      </c>
      <c r="H14" s="1">
        <f>SUM(P.25!Q38)</f>
        <v>32376.172500000004</v>
      </c>
      <c r="I14" s="1">
        <f>SUM(P.25!R38)</f>
        <v>14000</v>
      </c>
      <c r="J14" s="2">
        <v>1811</v>
      </c>
      <c r="K14" s="12">
        <f>RANK(F14,$F$4:$F$25,1)+COUNTIF($F$4:F14,F14)-1</f>
        <v>1</v>
      </c>
      <c r="L14" s="300" t="str">
        <f>INDEX(B4:I25,MATCH(11,K4:K25,0),1)</f>
        <v>Podkarpacie</v>
      </c>
      <c r="M14" s="296">
        <f>INDEX(B4:I25,MATCH(11,K4:K25,0),5)</f>
        <v>22106.118038490007</v>
      </c>
    </row>
    <row r="15" spans="1:13" x14ac:dyDescent="0.25">
      <c r="A15" s="9">
        <v>12</v>
      </c>
      <c r="B15" s="2" t="s">
        <v>80</v>
      </c>
      <c r="C15" s="1">
        <f>SUM(P.25!L39)</f>
        <v>22950.568740740739</v>
      </c>
      <c r="D15" s="1">
        <f>SUM(P.25!M39)</f>
        <v>20913.46125</v>
      </c>
      <c r="E15" s="1">
        <f>SUM(P.25!N39)</f>
        <v>11318.09407079646</v>
      </c>
      <c r="F15" s="296">
        <f>SUMIF(P.25!O39,"&gt;1",(P.25!O39))</f>
        <v>22862.37</v>
      </c>
      <c r="G15" s="1">
        <f>SUM(P.25!P39)</f>
        <v>60783.114035087718</v>
      </c>
      <c r="H15" s="1">
        <f>SUM(P.25!Q39)</f>
        <v>20980.357142857141</v>
      </c>
      <c r="I15" s="1">
        <f>SUM(P.25!R39)</f>
        <v>5454.545454545455</v>
      </c>
      <c r="J15" s="2">
        <v>1812</v>
      </c>
      <c r="K15" s="12">
        <f>RANK(F15,$F$4:$F$25,1)+COUNTIF($F$4:F15,F15)-1</f>
        <v>13</v>
      </c>
      <c r="L15" s="11" t="str">
        <f>INDEX(B4:I25,MATCH(12,K4:K25,0),1)</f>
        <v>Lubaczów</v>
      </c>
      <c r="M15" s="1">
        <f>INDEX(B4:I25,MATCH(12,K4:K25,0),5)</f>
        <v>22177.651249999999</v>
      </c>
    </row>
    <row r="16" spans="1:13" x14ac:dyDescent="0.25">
      <c r="A16" s="9">
        <v>13</v>
      </c>
      <c r="B16" s="2" t="s">
        <v>81</v>
      </c>
      <c r="C16" s="1">
        <f>SUM(P.25!L40)</f>
        <v>23368.433911290325</v>
      </c>
      <c r="D16" s="1">
        <f>SUM(P.25!M40)</f>
        <v>9671.8372972972975</v>
      </c>
      <c r="E16" s="1">
        <f>SUM(P.25!N40)</f>
        <v>18597.644124999999</v>
      </c>
      <c r="F16" s="296">
        <f>SUMIF(P.25!O40,"&gt;1",(P.25!O40))</f>
        <v>24405.43619047619</v>
      </c>
      <c r="G16" s="1">
        <f>SUM(P.25!P40)</f>
        <v>31429.579649122807</v>
      </c>
      <c r="H16" s="1">
        <f>SUM(P.25!Q40)</f>
        <v>52122.054857142852</v>
      </c>
      <c r="I16" s="1">
        <f>SUM(P.25!R40)</f>
        <v>11666.666666666666</v>
      </c>
      <c r="J16" s="2">
        <v>1814</v>
      </c>
      <c r="K16" s="13">
        <f>RANK(F16,$F$4:$F$25,1)+COUNTIF($F$4:F16,F16)-1</f>
        <v>15</v>
      </c>
      <c r="L16" s="14" t="str">
        <f>INDEX(B4:I25,MATCH(13,K4:K25,0),1)</f>
        <v>Nisko</v>
      </c>
      <c r="M16" s="1">
        <f>INDEX(B4:I25,MATCH(13,K4:K25,0),5)</f>
        <v>22862.37</v>
      </c>
    </row>
    <row r="17" spans="1:13" x14ac:dyDescent="0.25">
      <c r="A17" s="9">
        <v>14</v>
      </c>
      <c r="B17" s="2" t="s">
        <v>82</v>
      </c>
      <c r="C17" s="1">
        <f>SUM(P.25!L41)</f>
        <v>18855.229770114944</v>
      </c>
      <c r="D17" s="1">
        <f>SUM(P.25!M41)</f>
        <v>15120.53</v>
      </c>
      <c r="E17" s="1">
        <f>SUM(P.25!N41)</f>
        <v>15478.092470588237</v>
      </c>
      <c r="F17" s="296">
        <f>SUMIF(P.25!O41,"&gt;1",(P.25!O41))</f>
        <v>25674.542000000001</v>
      </c>
      <c r="G17" s="1">
        <f>SUM(P.25!P41)</f>
        <v>32659.126718750002</v>
      </c>
      <c r="H17" s="1">
        <f>SUM(P.25!Q41)</f>
        <v>16189.324675324675</v>
      </c>
      <c r="I17" s="1">
        <f>SUM(P.25!R41)</f>
        <v>6666.666666666667</v>
      </c>
      <c r="J17" s="2">
        <v>1815</v>
      </c>
      <c r="K17" s="13">
        <f>RANK(F17,$F$4:$F$25,1)+COUNTIF($F$4:F17,F17)-1</f>
        <v>17</v>
      </c>
      <c r="L17" s="14" t="str">
        <f>INDEX(B4:I25,MATCH(14,K4:K25,0),1)</f>
        <v>Stalowa Wola</v>
      </c>
      <c r="M17" s="1">
        <f>INDEX(B4:I25,MATCH(14,K4:K25,0),5)</f>
        <v>23889.046818181818</v>
      </c>
    </row>
    <row r="18" spans="1:13" x14ac:dyDescent="0.25">
      <c r="A18" s="299">
        <v>15</v>
      </c>
      <c r="B18" s="298" t="s">
        <v>83</v>
      </c>
      <c r="C18" s="95">
        <f>SUM(P.25!L43)</f>
        <v>15376.536067796609</v>
      </c>
      <c r="D18" s="95">
        <f>SUM(P.25!M43)</f>
        <v>5083.8857307692306</v>
      </c>
      <c r="E18" s="95">
        <f>SUM(P.25!N43)</f>
        <v>11100.79969924812</v>
      </c>
      <c r="F18" s="297">
        <f>SUMIF(P.25!O43,"&gt;1",(P.25!O43))</f>
        <v>19239.378834951458</v>
      </c>
      <c r="G18" s="95">
        <f>SUM(P.25!P43)</f>
        <v>37121.876798780489</v>
      </c>
      <c r="H18" s="95">
        <f>SUM(P.25!Q43)</f>
        <v>38719.998815165876</v>
      </c>
      <c r="I18" s="95">
        <f>SUM(P.25!R43)</f>
        <v>10086.384929577463</v>
      </c>
      <c r="J18" s="298" t="s">
        <v>136</v>
      </c>
      <c r="K18" s="9">
        <f>RANK(F18,$F$4:$F$25,1)+COUNTIF($F$4:F18,F18)-1</f>
        <v>6</v>
      </c>
      <c r="L18" s="2" t="str">
        <f>INDEX(B4:I25,MATCH(15,K4:K25,0),1)</f>
        <v>Przeworsk</v>
      </c>
      <c r="M18" s="1">
        <f>INDEX(B4:I25,MATCH(15,K4:K25,0),5)</f>
        <v>24405.43619047619</v>
      </c>
    </row>
    <row r="19" spans="1:13" x14ac:dyDescent="0.25">
      <c r="A19" s="9">
        <v>16</v>
      </c>
      <c r="B19" s="2" t="s">
        <v>84</v>
      </c>
      <c r="C19" s="1">
        <f>SUM(P.25!L44)</f>
        <v>21536.895444444446</v>
      </c>
      <c r="D19" s="1">
        <f>SUM(P.25!M44)</f>
        <v>10350.701666666666</v>
      </c>
      <c r="E19" s="1">
        <f>SUM(P.25!N44)</f>
        <v>11760.912112676056</v>
      </c>
      <c r="F19" s="296">
        <f>SUMIF(P.25!O44,"&gt;1",(P.25!O44))</f>
        <v>16076.913125000001</v>
      </c>
      <c r="G19" s="1">
        <f>SUM(P.25!P44)</f>
        <v>38178.404579439251</v>
      </c>
      <c r="H19" s="1">
        <f>SUM(P.25!Q44)</f>
        <v>16894.621830985914</v>
      </c>
      <c r="I19" s="1">
        <f>SUM(P.25!R44)</f>
        <v>14582.35294117647</v>
      </c>
      <c r="J19" s="2">
        <v>1817</v>
      </c>
      <c r="K19" s="9">
        <f>RANK(F19,$F$4:$F$25,1)+COUNTIF($F$4:F19,F19)-1</f>
        <v>5</v>
      </c>
      <c r="L19" s="2" t="str">
        <f>INDEX(B4:I25,MATCH(16,K4:K25,0),1)</f>
        <v>Jarosław</v>
      </c>
      <c r="M19" s="1">
        <f>INDEX(B4:I25,MATCH(16,K4:K25,0),5)</f>
        <v>25593.756434782612</v>
      </c>
    </row>
    <row r="20" spans="1:13" x14ac:dyDescent="0.25">
      <c r="A20" s="9">
        <v>17</v>
      </c>
      <c r="B20" s="2" t="s">
        <v>85</v>
      </c>
      <c r="C20" s="1">
        <f>SUM(P.25!L45)</f>
        <v>17818.265393939393</v>
      </c>
      <c r="D20" s="1">
        <f>SUM(P.25!M45)</f>
        <v>12213.680476190479</v>
      </c>
      <c r="E20" s="1">
        <f>SUM(P.25!N45)</f>
        <v>12231.750729166668</v>
      </c>
      <c r="F20" s="296">
        <f>SUMIF(P.25!O45,"&gt;1",(P.25!O45))</f>
        <v>23889.046818181818</v>
      </c>
      <c r="G20" s="1">
        <f>SUM(P.25!P45)</f>
        <v>33058.030508474578</v>
      </c>
      <c r="H20" s="1">
        <f>SUM(P.25!Q45)</f>
        <v>18819.021555555555</v>
      </c>
      <c r="I20" s="1">
        <f>SUM(P.25!R45)</f>
        <v>5166.666666666667</v>
      </c>
      <c r="J20" s="2">
        <v>1818</v>
      </c>
      <c r="K20" s="9">
        <f>RANK(F20,$F$4:$F$25,1)+COUNTIF($F$4:F20,F20)-1</f>
        <v>14</v>
      </c>
      <c r="L20" s="2" t="str">
        <f>INDEX(B4:I25,MATCH(17,K4:K25,0),1)</f>
        <v>Ropczyce</v>
      </c>
      <c r="M20" s="1">
        <f>INDEX(B4:I25,MATCH(17,K4:K25,0),5)</f>
        <v>25674.542000000001</v>
      </c>
    </row>
    <row r="21" spans="1:13" x14ac:dyDescent="0.25">
      <c r="A21" s="9">
        <v>18</v>
      </c>
      <c r="B21" s="2" t="s">
        <v>86</v>
      </c>
      <c r="C21" s="1">
        <f>SUM(P.25!L46)</f>
        <v>15305.461784232366</v>
      </c>
      <c r="D21" s="1">
        <f>SUM(P.25!M46)</f>
        <v>13517.788409090908</v>
      </c>
      <c r="E21" s="1">
        <f>SUM(P.25!N46)</f>
        <v>17291.258000000002</v>
      </c>
      <c r="F21" s="296">
        <f>SUMIF(P.25!O46,"&gt;1",(P.25!O46))</f>
        <v>26515.304434782607</v>
      </c>
      <c r="G21" s="1">
        <f>SUM(P.25!P46)</f>
        <v>35097.770833333336</v>
      </c>
      <c r="H21" s="1">
        <f>SUM(P.25!Q46)</f>
        <v>31518.684507042253</v>
      </c>
      <c r="I21" s="1">
        <f>SUM(P.25!R46)</f>
        <v>15750</v>
      </c>
      <c r="J21" s="2">
        <v>1819</v>
      </c>
      <c r="K21" s="9">
        <f>RANK(F21,$F$4:$F$25,1)+COUNTIF($F$4:F21,F21)-1</f>
        <v>19</v>
      </c>
      <c r="L21" s="2" t="str">
        <f>INDEX(B4:I25,MATCH(18,K4:K25,0),1)</f>
        <v>Kolbuszowa</v>
      </c>
      <c r="M21" s="1">
        <f>INDEX(B4:I25,MATCH(18,K4:K25,0),5)</f>
        <v>26057.456249999999</v>
      </c>
    </row>
    <row r="22" spans="1:13" x14ac:dyDescent="0.25">
      <c r="A22" s="299">
        <v>19</v>
      </c>
      <c r="B22" s="298" t="s">
        <v>87</v>
      </c>
      <c r="C22" s="95">
        <f>SUM(P.25!L47)</f>
        <v>15039.525506329113</v>
      </c>
      <c r="D22" s="95">
        <f>SUM(P.25!M47)</f>
        <v>19238.223750000001</v>
      </c>
      <c r="E22" s="95">
        <f>SUM(P.25!N47)</f>
        <v>10424.767582417582</v>
      </c>
      <c r="F22" s="297">
        <f>SUMIF(P.25!O47,"&gt;1",(P.25!O47))</f>
        <v>21996.634620253164</v>
      </c>
      <c r="G22" s="95">
        <f>SUM(P.25!P47)</f>
        <v>24311.7</v>
      </c>
      <c r="H22" s="95">
        <f>SUM(P.25!Q47)</f>
        <v>27924.593214285713</v>
      </c>
      <c r="I22" s="95">
        <f>SUM(P.25!R47)</f>
        <v>9894.7368421052633</v>
      </c>
      <c r="J22" s="298" t="s">
        <v>137</v>
      </c>
      <c r="K22" s="9">
        <f>RANK(F22,$F$4:$F$25,1)+COUNTIF($F$4:F22,F22)-1</f>
        <v>10</v>
      </c>
      <c r="L22" s="2" t="str">
        <f>INDEX(B4:I25,MATCH(19,K4:K25,0),1)</f>
        <v>Strzyżów</v>
      </c>
      <c r="M22" s="1">
        <f>INDEX(B4:I25,MATCH(19,K4:K25,0),5)</f>
        <v>26515.304434782607</v>
      </c>
    </row>
    <row r="23" spans="1:13" x14ac:dyDescent="0.25">
      <c r="A23" s="9">
        <v>20</v>
      </c>
      <c r="B23" s="2" t="s">
        <v>88</v>
      </c>
      <c r="C23" s="1">
        <f>SUM(P.25!L48)</f>
        <v>18791.869565217392</v>
      </c>
      <c r="D23" s="1">
        <f>SUM(P.25!M48)</f>
        <v>17502.547500000001</v>
      </c>
      <c r="E23" s="1">
        <f>SUM(P.25!N48)</f>
        <v>15372.428285714286</v>
      </c>
      <c r="F23" s="296">
        <f>SUMIF(P.25!O48,"&gt;1",(P.25!O48))</f>
        <v>31909.594375000001</v>
      </c>
      <c r="G23" s="1">
        <f>SUM(P.25!P48)</f>
        <v>33514.66118644068</v>
      </c>
      <c r="H23" s="1">
        <f>SUM(P.25!Q48)</f>
        <v>34685.678709677421</v>
      </c>
      <c r="I23" s="1">
        <f>SUM(P.25!R48)</f>
        <v>19352.941176470587</v>
      </c>
      <c r="J23" s="2">
        <v>1821</v>
      </c>
      <c r="K23" s="9">
        <f>RANK(F23,$F$4:$F$25,1)+COUNTIF($F$4:F23,F23)-1</f>
        <v>21</v>
      </c>
      <c r="L23" s="2" t="str">
        <f>INDEX(B4:I25,MATCH(20,K4:K25,0),1)</f>
        <v>Przemyśl</v>
      </c>
      <c r="M23" s="1">
        <f>INDEX(B4:I25,MATCH(20,K4:K25,0),5)</f>
        <v>28646.019558823529</v>
      </c>
    </row>
    <row r="24" spans="1:13" x14ac:dyDescent="0.25">
      <c r="A24" s="299">
        <v>21</v>
      </c>
      <c r="B24" s="298" t="s">
        <v>91</v>
      </c>
      <c r="C24" s="95">
        <f>SUM(P.25!L49)</f>
        <v>20774.599173553717</v>
      </c>
      <c r="D24" s="95">
        <f>SUM(P.25!M49)</f>
        <v>15984.357894736842</v>
      </c>
      <c r="E24" s="95">
        <f>SUM(P.25!N49)</f>
        <v>15361.943445692883</v>
      </c>
      <c r="F24" s="297">
        <f>SUMIF(P.25!O49,"&gt;1",(P.25!O49))</f>
        <v>28646.019558823529</v>
      </c>
      <c r="G24" s="95">
        <f>SUM(P.25!P49)</f>
        <v>30128.816223776223</v>
      </c>
      <c r="H24" s="95">
        <f>SUM(P.25!Q49)</f>
        <v>44715.425000000003</v>
      </c>
      <c r="I24" s="95">
        <f>SUM(P.25!R49)</f>
        <v>11547.169811320755</v>
      </c>
      <c r="J24" s="298" t="s">
        <v>135</v>
      </c>
      <c r="K24" s="9">
        <f>RANK(F24,$F$4:$F$25,1)+COUNTIF($F$4:F24,F24)-1</f>
        <v>20</v>
      </c>
      <c r="L24" s="2" t="str">
        <f>INDEX(B4:I25,MATCH(21,K4:K25,0),1)</f>
        <v>Lesko</v>
      </c>
      <c r="M24" s="1">
        <f>INDEX(B4:I25,MATCH(21,K4:K25,0),5)</f>
        <v>31909.594375000001</v>
      </c>
    </row>
    <row r="25" spans="1:13" x14ac:dyDescent="0.25">
      <c r="A25" s="9">
        <v>22</v>
      </c>
      <c r="B25" s="11" t="s">
        <v>94</v>
      </c>
      <c r="C25" s="1">
        <f>SUM(P.25!L50)</f>
        <v>18392.965695890409</v>
      </c>
      <c r="D25" s="1">
        <f>SUM(P.25!M50)</f>
        <v>10098.81053030303</v>
      </c>
      <c r="E25" s="1">
        <f>SUM(P.25!N50)</f>
        <v>12347.160524385772</v>
      </c>
      <c r="F25" s="296">
        <f>SUMIF(P.25!O50,"&gt;1",(P.25!O50))</f>
        <v>22106.118038490007</v>
      </c>
      <c r="G25" s="1">
        <f>SUM(P.25!P50)</f>
        <v>34538.310051078319</v>
      </c>
      <c r="H25" s="1">
        <f>SUM(P.25!Q50)</f>
        <v>30333.703615857823</v>
      </c>
      <c r="I25" s="1">
        <f>SUM(P.25!R50)</f>
        <v>12881.823491204332</v>
      </c>
      <c r="J25" s="2">
        <v>1800</v>
      </c>
      <c r="K25" s="9">
        <f>RANK(F25,$F$4:$F$25,1)+COUNTIF($F$4:F25,F25)-1</f>
        <v>11</v>
      </c>
      <c r="L25" s="2" t="str">
        <f>INDEX(B4:I25,MATCH(22,K4:K25,0),1)</f>
        <v>Ustrzyki Dolne</v>
      </c>
      <c r="M25" s="1">
        <f>INDEX(B4:I25,MATCH(22,K4:K25,0),5)</f>
        <v>32760.230833333335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  <c r="F27" s="5"/>
    </row>
    <row r="28" spans="1:13" x14ac:dyDescent="0.25">
      <c r="A28" s="9">
        <v>2</v>
      </c>
      <c r="B28" s="10" t="s">
        <v>2</v>
      </c>
      <c r="C28" s="8" t="s">
        <v>143</v>
      </c>
    </row>
    <row r="29" spans="1:13" x14ac:dyDescent="0.25">
      <c r="A29" s="9">
        <v>3</v>
      </c>
      <c r="B29" s="10" t="s">
        <v>3</v>
      </c>
      <c r="C29" s="8" t="s">
        <v>143</v>
      </c>
    </row>
    <row r="30" spans="1:13" x14ac:dyDescent="0.25">
      <c r="A30" s="294">
        <v>4</v>
      </c>
      <c r="B30" s="295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E376C-9C72-4AAA-94D9-04D9DEE597ED}">
  <sheetPr>
    <tabColor theme="0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7.42578125" style="8" customWidth="1"/>
    <col min="2" max="2" width="13.42578125" style="8" customWidth="1"/>
    <col min="3" max="3" width="12.7109375" style="8" customWidth="1"/>
    <col min="4" max="5" width="13" style="8" customWidth="1"/>
    <col min="6" max="6" width="13.5703125" style="8" customWidth="1"/>
    <col min="7" max="7" width="12.42578125" style="8" customWidth="1"/>
    <col min="8" max="9" width="13.28515625" style="8" customWidth="1"/>
    <col min="10" max="10" width="11.5703125" style="5" customWidth="1"/>
    <col min="11" max="11" width="7.28515625" style="5" customWidth="1"/>
    <col min="12" max="12" width="14" style="5" customWidth="1"/>
    <col min="13" max="13" width="11.5703125" style="8" customWidth="1"/>
    <col min="14" max="16384" width="9.140625" style="8"/>
  </cols>
  <sheetData>
    <row r="1" spans="1:13" x14ac:dyDescent="0.25">
      <c r="A1" s="5" t="s">
        <v>144</v>
      </c>
      <c r="B1" s="471">
        <v>2025</v>
      </c>
    </row>
    <row r="2" spans="1:13" x14ac:dyDescent="0.25">
      <c r="A2" s="8" t="s">
        <v>299</v>
      </c>
    </row>
    <row r="3" spans="1:13" x14ac:dyDescent="0.25">
      <c r="A3" s="294">
        <f>SUM(P.!K26)</f>
        <v>0</v>
      </c>
      <c r="B3" s="295" t="s">
        <v>95</v>
      </c>
      <c r="C3" s="294" t="s">
        <v>127</v>
      </c>
      <c r="D3" s="294" t="s">
        <v>126</v>
      </c>
      <c r="E3" s="294" t="s">
        <v>140</v>
      </c>
      <c r="F3" s="294" t="s">
        <v>130</v>
      </c>
      <c r="G3" s="294" t="s">
        <v>141</v>
      </c>
      <c r="H3" s="294" t="s">
        <v>139</v>
      </c>
      <c r="I3" s="294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1">
        <f>SUM(P.25!L27)</f>
        <v>17215.242705882352</v>
      </c>
      <c r="D4" s="1">
        <f>SUM(P.25!M27)</f>
        <v>20668.188571428571</v>
      </c>
      <c r="E4" s="1">
        <f>SUM(P.25!N27)</f>
        <v>18468.831372549019</v>
      </c>
      <c r="F4" s="1">
        <f>SUMIF(P.25!O27,"&gt;1",(P.25!O27))</f>
        <v>32760.230833333335</v>
      </c>
      <c r="G4" s="296">
        <f>SUMIF(P.25!P27,"&gt;1",(P.25!P27))</f>
        <v>30990.075000000001</v>
      </c>
      <c r="H4" s="1">
        <f>SUMIF(P.25!Q27,"&gt;1",(P.25!Q27))</f>
        <v>8284.1247368421045</v>
      </c>
      <c r="I4" s="1">
        <f>SUMIF(P.25!R27,"&gt;1",(P.25!R27))</f>
        <v>12025</v>
      </c>
      <c r="J4" s="2">
        <v>1801</v>
      </c>
      <c r="K4" s="12">
        <f>RANK(G4,$G$4:$G$25,1)+COUNTIF($G$4:G4,G4)-1</f>
        <v>7</v>
      </c>
      <c r="L4" s="2" t="str">
        <f>INDEX(B4:I25,MATCH(1,K4:K25,0),1)</f>
        <v>Tarnobrzeg</v>
      </c>
      <c r="M4" s="1">
        <f>INDEX(B4:I25,MATCH(1,K4:K25,0),6)</f>
        <v>24311.7</v>
      </c>
    </row>
    <row r="5" spans="1:13" x14ac:dyDescent="0.25">
      <c r="A5" s="9">
        <v>2</v>
      </c>
      <c r="B5" s="2" t="s">
        <v>70</v>
      </c>
      <c r="C5" s="1">
        <f>SUM(P.25!L28)</f>
        <v>19766.191826923077</v>
      </c>
      <c r="D5" s="1">
        <f>SUM(P.25!M28)</f>
        <v>9153.7711764705873</v>
      </c>
      <c r="E5" s="1">
        <f>SUM(P.25!N28)</f>
        <v>9294.6093382352956</v>
      </c>
      <c r="F5" s="1">
        <f>SUMIF(P.25!O28,"&gt;1",(P.25!O28))</f>
        <v>21926.968000000001</v>
      </c>
      <c r="G5" s="296">
        <f>SUM(P.25!P28)</f>
        <v>33882.403969465646</v>
      </c>
      <c r="H5" s="1">
        <f>SUM(P.25!Q28)</f>
        <v>49516.699574468083</v>
      </c>
      <c r="I5" s="1">
        <f>SUM(P.25!R28)</f>
        <v>17660.377358490565</v>
      </c>
      <c r="J5" s="2">
        <v>1802</v>
      </c>
      <c r="K5" s="12">
        <f>RANK(G5,$G$4:$G$25,1)+COUNTIF($G$4:G5,G5)-1</f>
        <v>14</v>
      </c>
      <c r="L5" s="11" t="str">
        <f>INDEX(B4:I25,MATCH(2,K4:K25,0),1)</f>
        <v>Dębica</v>
      </c>
      <c r="M5" s="1">
        <f>INDEX(B4:I25,MATCH(2,K4:K25,0),6)</f>
        <v>24340.21305882353</v>
      </c>
    </row>
    <row r="6" spans="1:13" x14ac:dyDescent="0.25">
      <c r="A6" s="9">
        <v>3</v>
      </c>
      <c r="B6" s="2" t="s">
        <v>71</v>
      </c>
      <c r="C6" s="1">
        <f>SUM(P.25!L29)</f>
        <v>24909.382870370373</v>
      </c>
      <c r="D6" s="1">
        <f>SUM(P.25!M29)</f>
        <v>7253.38</v>
      </c>
      <c r="E6" s="1">
        <f>SUM(P.25!N29)</f>
        <v>9652.3577173913054</v>
      </c>
      <c r="F6" s="1">
        <f>SUMIF(P.25!O29,"&gt;1",(P.25!O29))</f>
        <v>11656.7925</v>
      </c>
      <c r="G6" s="296">
        <f>SUM(P.25!P29)</f>
        <v>24340.21305882353</v>
      </c>
      <c r="H6" s="1">
        <f>SUM(P.25!Q29)</f>
        <v>34076.923076923078</v>
      </c>
      <c r="I6" s="1">
        <f>SUM(P.25!R29)</f>
        <v>8275.8620689655181</v>
      </c>
      <c r="J6" s="2">
        <v>1803</v>
      </c>
      <c r="K6" s="12">
        <f>RANK(G6,$G$4:$G$25,1)+COUNTIF($G$4:G6,G6)-1</f>
        <v>2</v>
      </c>
      <c r="L6" s="11" t="str">
        <f>INDEX(B4:I25,MATCH(3,K4:K25,0),1)</f>
        <v>Jarosław</v>
      </c>
      <c r="M6" s="1">
        <f>INDEX(B4:I25,MATCH(3,K4:K25,0),6)</f>
        <v>25844.193548387098</v>
      </c>
    </row>
    <row r="7" spans="1:13" x14ac:dyDescent="0.25">
      <c r="A7" s="9">
        <v>4</v>
      </c>
      <c r="B7" s="2" t="s">
        <v>72</v>
      </c>
      <c r="C7" s="1">
        <f>SUM(P.25!L30)</f>
        <v>16915.526422413794</v>
      </c>
      <c r="D7" s="1">
        <f>SUM(P.25!M30)</f>
        <v>13146.98625</v>
      </c>
      <c r="E7" s="1">
        <f>SUM(P.25!N30)</f>
        <v>7179.6699200000003</v>
      </c>
      <c r="F7" s="1">
        <f>SUMIF(P.25!O30,"&gt;1",(P.25!O30))</f>
        <v>25593.756434782612</v>
      </c>
      <c r="G7" s="296">
        <f>SUM(P.25!P30)</f>
        <v>25844.193548387098</v>
      </c>
      <c r="H7" s="1">
        <f>SUM(P.25!Q30)</f>
        <v>18706.133739837402</v>
      </c>
      <c r="I7" s="1">
        <f>SUM(P.25!R30)</f>
        <v>40426.620000000003</v>
      </c>
      <c r="J7" s="2">
        <v>1804</v>
      </c>
      <c r="K7" s="12">
        <f>RANK(G7,$G$4:$G$25,1)+COUNTIF($G$4:G7,G7)-1</f>
        <v>3</v>
      </c>
      <c r="L7" s="11" t="str">
        <f>INDEX(B4:I25,MATCH(4,K4:K25,0),1)</f>
        <v>Lubaczów</v>
      </c>
      <c r="M7" s="1">
        <f>INDEX(B4:I25,MATCH(4,K4:K25,0),6)</f>
        <v>27639.703703703704</v>
      </c>
    </row>
    <row r="8" spans="1:13" x14ac:dyDescent="0.25">
      <c r="A8" s="9">
        <v>5</v>
      </c>
      <c r="B8" s="2" t="s">
        <v>73</v>
      </c>
      <c r="C8" s="1">
        <f>SUM(P.25!L31)</f>
        <v>19743.800962566846</v>
      </c>
      <c r="D8" s="1">
        <f>SUM(P.25!M31)</f>
        <v>17613.050666666666</v>
      </c>
      <c r="E8" s="1">
        <f>SUM(P.25!N31)</f>
        <v>9960.3185333333331</v>
      </c>
      <c r="F8" s="1">
        <f>SUMIF(P.25!O31,"&gt;1",(P.25!O31))</f>
        <v>21041.448360655741</v>
      </c>
      <c r="G8" s="296">
        <f>SUM(P.25!P31)</f>
        <v>36474.390471698112</v>
      </c>
      <c r="H8" s="1">
        <f>SUM(P.25!Q31)</f>
        <v>39148.718687500004</v>
      </c>
      <c r="I8" s="1">
        <f>SUM(P.25!R31)</f>
        <v>16238.344054054054</v>
      </c>
      <c r="J8" s="2">
        <v>1805</v>
      </c>
      <c r="K8" s="12">
        <f>RANK(G8,$G$4:$G$25,1)+COUNTIF($G$4:G8,G8)-1</f>
        <v>17</v>
      </c>
      <c r="L8" s="11" t="str">
        <f>INDEX(B4:I25,MATCH(5,K4:K25,0),1)</f>
        <v>Łańcut</v>
      </c>
      <c r="M8" s="1">
        <f>INDEX(B4:I25,MATCH(5,K4:K25,0),6)</f>
        <v>30002.293043478257</v>
      </c>
    </row>
    <row r="9" spans="1:13" x14ac:dyDescent="0.25">
      <c r="A9" s="9">
        <v>6</v>
      </c>
      <c r="B9" s="2" t="s">
        <v>74</v>
      </c>
      <c r="C9" s="1">
        <f>SUM(P.25!L32)</f>
        <v>21030.050721649484</v>
      </c>
      <c r="D9" s="1">
        <f>SUM(P.25!M32)</f>
        <v>17478.610999999997</v>
      </c>
      <c r="E9" s="1">
        <f>SUM(P.25!N32)</f>
        <v>9612.0897777777773</v>
      </c>
      <c r="F9" s="1">
        <f>SUMIF(P.25!O32,"&gt;1",(P.25!O32))</f>
        <v>26057.456249999999</v>
      </c>
      <c r="G9" s="296">
        <f>SUM(P.25!P32)</f>
        <v>58452.892368421053</v>
      </c>
      <c r="H9" s="1">
        <f>SUM(P.25!Q32)</f>
        <v>19882.358285714286</v>
      </c>
      <c r="I9" s="562">
        <f>SUMIF(P.25!R32,"&gt;1",(P.25!R32))</f>
        <v>0</v>
      </c>
      <c r="J9" s="2">
        <v>1806</v>
      </c>
      <c r="K9" s="12">
        <f>RANK(G9,$G$4:$G$25,1)+COUNTIF($G$4:G9,G9)-1</f>
        <v>21</v>
      </c>
      <c r="L9" s="11" t="str">
        <f>INDEX(B4:I25,MATCH(6,K4:K25,0),1)</f>
        <v>Przemyśl</v>
      </c>
      <c r="M9" s="1">
        <f>INDEX(B4:I25,MATCH(6,K4:K25,0),6)</f>
        <v>30128.816223776223</v>
      </c>
    </row>
    <row r="10" spans="1:13" x14ac:dyDescent="0.25">
      <c r="A10" s="299">
        <v>7</v>
      </c>
      <c r="B10" s="298" t="s">
        <v>75</v>
      </c>
      <c r="C10" s="95">
        <f>SUM(P.25!L33)</f>
        <v>16338.483195266273</v>
      </c>
      <c r="D10" s="95">
        <f>SUM(P.25!M33)</f>
        <v>13560.481428571427</v>
      </c>
      <c r="E10" s="95">
        <f>SUM(P.25!N33)</f>
        <v>10450.554743589744</v>
      </c>
      <c r="F10" s="95">
        <f>SUMIF(P.25!O33,"&gt;1",(P.25!O33))</f>
        <v>14616.336666666668</v>
      </c>
      <c r="G10" s="297">
        <f>SUM(P.25!P33)</f>
        <v>36613.509012345676</v>
      </c>
      <c r="H10" s="95">
        <f>SUM(P.25!Q33)</f>
        <v>33816.54367088608</v>
      </c>
      <c r="I10" s="95">
        <f>SUM(P.25!R33)</f>
        <v>9939.3939393939399</v>
      </c>
      <c r="J10" s="298" t="s">
        <v>134</v>
      </c>
      <c r="K10" s="12">
        <f>RANK(G10,$G$4:$G$25,1)+COUNTIF($G$4:G10,G10)-1</f>
        <v>18</v>
      </c>
      <c r="L10" s="11" t="str">
        <f>INDEX(B4:I25,MATCH(7,K4:K25,0),1)</f>
        <v>Ustrzyki Dolne</v>
      </c>
      <c r="M10" s="1">
        <f>INDEX(B4:I25,MATCH(7,K4:K25,0),6)</f>
        <v>30990.075000000001</v>
      </c>
    </row>
    <row r="11" spans="1:13" x14ac:dyDescent="0.25">
      <c r="A11" s="9">
        <v>8</v>
      </c>
      <c r="B11" s="2" t="s">
        <v>76</v>
      </c>
      <c r="C11" s="1">
        <f>SUM(P.25!L35)</f>
        <v>17831.99090909091</v>
      </c>
      <c r="D11" s="1">
        <f>SUM(P.25!M35)</f>
        <v>25349.94875</v>
      </c>
      <c r="E11" s="1">
        <f>SUM(P.25!N35)</f>
        <v>9857.1518309859166</v>
      </c>
      <c r="F11" s="1">
        <f>SUMIF(P.25!O35,"&gt;1",(P.25!O35))</f>
        <v>12182.592554744526</v>
      </c>
      <c r="G11" s="296">
        <f>SUM(P.25!P35)</f>
        <v>33798.138983050849</v>
      </c>
      <c r="H11" s="1">
        <f>SUM(P.25!Q35)</f>
        <v>15035.338666666667</v>
      </c>
      <c r="I11" s="1">
        <f>SUM(P.25!R35)</f>
        <v>10476.190476190477</v>
      </c>
      <c r="J11" s="2">
        <v>1808</v>
      </c>
      <c r="K11" s="12">
        <f>RANK(G11,$G$4:$G$25,1)+COUNTIF($G$4:G11,G11)-1</f>
        <v>13</v>
      </c>
      <c r="L11" s="57" t="str">
        <f>INDEX(B4:I25,MATCH(8,K4:K25,0),1)</f>
        <v>Przeworsk</v>
      </c>
      <c r="M11" s="15">
        <f>INDEX(B4:I25,MATCH(8,K4:K25,0),6)</f>
        <v>31429.579649122807</v>
      </c>
    </row>
    <row r="12" spans="1:13" x14ac:dyDescent="0.25">
      <c r="A12" s="9">
        <v>9</v>
      </c>
      <c r="B12" s="2" t="s">
        <v>77</v>
      </c>
      <c r="C12" s="1">
        <f>SUM(P.25!L36)</f>
        <v>14347.0075</v>
      </c>
      <c r="D12" s="1">
        <f>SUM(P.25!M36)</f>
        <v>9785.2900000000009</v>
      </c>
      <c r="E12" s="1">
        <f>SUM(P.25!N36)</f>
        <v>11910.110540540541</v>
      </c>
      <c r="F12" s="1">
        <f>SUMIF(P.25!O36,"&gt;1",(P.25!O36))</f>
        <v>22177.651249999999</v>
      </c>
      <c r="G12" s="296">
        <f>SUM(P.25!P36)</f>
        <v>27639.703703703704</v>
      </c>
      <c r="H12" s="296">
        <f>SUMIF(P.25!Q36,"&gt;1",(P.25!Q36))</f>
        <v>0</v>
      </c>
      <c r="I12" s="1">
        <f>SUMIF(P.25!R36,"&gt;1",(P.25!R36))</f>
        <v>10320.76923076923</v>
      </c>
      <c r="J12" s="2">
        <v>1809</v>
      </c>
      <c r="K12" s="12">
        <f>RANK(G12,$G$4:$G$25,1)+COUNTIF($G$4:G12,G12)-1</f>
        <v>4</v>
      </c>
      <c r="L12" s="11" t="str">
        <f>INDEX(B4:I25,MATCH(9,K4:K25,0),1)</f>
        <v>Ropczyce</v>
      </c>
      <c r="M12" s="1">
        <f>INDEX(B4:I25,MATCH(9,K4:K25,0),6)</f>
        <v>32659.126718750002</v>
      </c>
    </row>
    <row r="13" spans="1:13" x14ac:dyDescent="0.25">
      <c r="A13" s="9">
        <v>10</v>
      </c>
      <c r="B13" s="2" t="s">
        <v>78</v>
      </c>
      <c r="C13" s="1">
        <f>SUM(P.25!L37)</f>
        <v>21100.202897196261</v>
      </c>
      <c r="D13" s="1">
        <f>SUM(P.25!M37)</f>
        <v>6174.4281250000004</v>
      </c>
      <c r="E13" s="1">
        <f>SUM(P.25!N37)</f>
        <v>14383.268333333333</v>
      </c>
      <c r="F13" s="1">
        <f>SUMIF(P.25!O37,"&gt;1",(P.25!O37))</f>
        <v>19806.177179487182</v>
      </c>
      <c r="G13" s="296">
        <f>SUM(P.25!P37)</f>
        <v>30002.293043478257</v>
      </c>
      <c r="H13" s="1">
        <f>SUM(P.25!Q37)</f>
        <v>35444.152033898303</v>
      </c>
      <c r="I13" s="1">
        <f>SUM(P.25!R37)</f>
        <v>11956.521739130434</v>
      </c>
      <c r="J13" s="2">
        <v>1810</v>
      </c>
      <c r="K13" s="12">
        <f>RANK(G13,$G$4:$G$25,1)+COUNTIF($G$4:G13,G13)-1</f>
        <v>5</v>
      </c>
      <c r="L13" s="11" t="str">
        <f>INDEX(B4:I25,MATCH(10,K4:K25,0),1)</f>
        <v>Mielec</v>
      </c>
      <c r="M13" s="1">
        <f>INDEX(B4:I25,MATCH(10,K4:K25,0),6)</f>
        <v>32977.792535211265</v>
      </c>
    </row>
    <row r="14" spans="1:13" x14ac:dyDescent="0.25">
      <c r="A14" s="9">
        <v>11</v>
      </c>
      <c r="B14" s="2" t="s">
        <v>79</v>
      </c>
      <c r="C14" s="1">
        <f>SUM(P.25!L38)</f>
        <v>17626.840360824743</v>
      </c>
      <c r="D14" s="1">
        <f>SUM(P.25!M38)</f>
        <v>11511.252500000001</v>
      </c>
      <c r="E14" s="1">
        <f>SUM(P.25!N38)</f>
        <v>11450.537990196079</v>
      </c>
      <c r="F14" s="1">
        <f>SUMIF(P.25!O38,"&gt;1",(P.25!O38))</f>
        <v>11067.973333333333</v>
      </c>
      <c r="G14" s="296">
        <f>SUM(P.25!P38)</f>
        <v>32977.792535211265</v>
      </c>
      <c r="H14" s="1">
        <f>SUM(P.25!Q38)</f>
        <v>32376.172500000004</v>
      </c>
      <c r="I14" s="1">
        <f>SUM(P.25!R38)</f>
        <v>14000</v>
      </c>
      <c r="J14" s="2">
        <v>1811</v>
      </c>
      <c r="K14" s="56">
        <f>RANK(G14,$G$4:$G$25,1)+COUNTIF($G$4:G14,G14)-1</f>
        <v>10</v>
      </c>
      <c r="L14" s="11" t="str">
        <f>INDEX(B4:I25,MATCH(11,K4:K25,0),1)</f>
        <v>Stalowa Wola</v>
      </c>
      <c r="M14" s="1">
        <f>INDEX(B4:I25,MATCH(11,K4:K25,0),6)</f>
        <v>33058.030508474578</v>
      </c>
    </row>
    <row r="15" spans="1:13" x14ac:dyDescent="0.25">
      <c r="A15" s="9">
        <v>12</v>
      </c>
      <c r="B15" s="2" t="s">
        <v>80</v>
      </c>
      <c r="C15" s="1">
        <f>SUM(P.25!L39)</f>
        <v>22950.568740740739</v>
      </c>
      <c r="D15" s="1">
        <f>SUM(P.25!M39)</f>
        <v>20913.46125</v>
      </c>
      <c r="E15" s="1">
        <f>SUM(P.25!N39)</f>
        <v>11318.09407079646</v>
      </c>
      <c r="F15" s="1">
        <f>SUMIF(P.25!O39,"&gt;1",(P.25!O39))</f>
        <v>22862.37</v>
      </c>
      <c r="G15" s="296">
        <f>SUM(P.25!P39)</f>
        <v>60783.114035087718</v>
      </c>
      <c r="H15" s="1">
        <f>SUM(P.25!Q39)</f>
        <v>20980.357142857141</v>
      </c>
      <c r="I15" s="1">
        <f>SUM(P.25!R39)</f>
        <v>5454.545454545455</v>
      </c>
      <c r="J15" s="2">
        <v>1812</v>
      </c>
      <c r="K15" s="12">
        <f>RANK(G15,$G$4:$G$25,1)+COUNTIF($G$4:G15,G15)-1</f>
        <v>22</v>
      </c>
      <c r="L15" s="11" t="str">
        <f>INDEX(B4:I25,MATCH(12,K4:K25,0),1)</f>
        <v>Lesko</v>
      </c>
      <c r="M15" s="1">
        <f>INDEX(B4:I25,MATCH(12,K4:K25,0),6)</f>
        <v>33514.66118644068</v>
      </c>
    </row>
    <row r="16" spans="1:13" x14ac:dyDescent="0.25">
      <c r="A16" s="9">
        <v>13</v>
      </c>
      <c r="B16" s="2" t="s">
        <v>81</v>
      </c>
      <c r="C16" s="1">
        <f>SUM(P.25!L40)</f>
        <v>23368.433911290325</v>
      </c>
      <c r="D16" s="1">
        <f>SUM(P.25!M40)</f>
        <v>9671.8372972972975</v>
      </c>
      <c r="E16" s="1">
        <f>SUM(P.25!N40)</f>
        <v>18597.644124999999</v>
      </c>
      <c r="F16" s="1">
        <f>SUMIF(P.25!O40,"&gt;1",(P.25!O40))</f>
        <v>24405.43619047619</v>
      </c>
      <c r="G16" s="296">
        <f>SUM(P.25!P40)</f>
        <v>31429.579649122807</v>
      </c>
      <c r="H16" s="1">
        <f>SUM(P.25!Q40)</f>
        <v>52122.054857142852</v>
      </c>
      <c r="I16" s="1">
        <f>SUM(P.25!R40)</f>
        <v>11666.666666666666</v>
      </c>
      <c r="J16" s="2">
        <v>1814</v>
      </c>
      <c r="K16" s="13">
        <f>RANK(G16,$G$4:$G$25,1)+COUNTIF($G$4:G16,G16)-1</f>
        <v>8</v>
      </c>
      <c r="L16" s="14" t="str">
        <f>INDEX(B4:I25,MATCH(13,K4:K25,0),1)</f>
        <v>Leżajsk</v>
      </c>
      <c r="M16" s="1">
        <f>INDEX(B4:I25,MATCH(13,K4:K25,0),6)</f>
        <v>33798.138983050849</v>
      </c>
    </row>
    <row r="17" spans="1:13" x14ac:dyDescent="0.25">
      <c r="A17" s="9">
        <v>14</v>
      </c>
      <c r="B17" s="2" t="s">
        <v>82</v>
      </c>
      <c r="C17" s="1">
        <f>SUM(P.25!L41)</f>
        <v>18855.229770114944</v>
      </c>
      <c r="D17" s="1">
        <f>SUM(P.25!M41)</f>
        <v>15120.53</v>
      </c>
      <c r="E17" s="1">
        <f>SUM(P.25!N41)</f>
        <v>15478.092470588237</v>
      </c>
      <c r="F17" s="1">
        <f>SUMIF(P.25!O41,"&gt;1",(P.25!O41))</f>
        <v>25674.542000000001</v>
      </c>
      <c r="G17" s="296">
        <f>SUM(P.25!P41)</f>
        <v>32659.126718750002</v>
      </c>
      <c r="H17" s="1">
        <f>SUM(P.25!Q41)</f>
        <v>16189.324675324675</v>
      </c>
      <c r="I17" s="1">
        <f>SUM(P.25!R41)</f>
        <v>6666.666666666667</v>
      </c>
      <c r="J17" s="2">
        <v>1815</v>
      </c>
      <c r="K17" s="13">
        <f>RANK(G17,$G$4:$G$25,1)+COUNTIF($G$4:G17,G17)-1</f>
        <v>9</v>
      </c>
      <c r="L17" s="14" t="str">
        <f>INDEX(B4:I25,MATCH(14,K4:K25,0),1)</f>
        <v>Brzozów</v>
      </c>
      <c r="M17" s="1">
        <f>INDEX(B4:I25,MATCH(14,K4:K25,0),6)</f>
        <v>33882.403969465646</v>
      </c>
    </row>
    <row r="18" spans="1:13" x14ac:dyDescent="0.25">
      <c r="A18" s="299">
        <v>15</v>
      </c>
      <c r="B18" s="298" t="s">
        <v>83</v>
      </c>
      <c r="C18" s="95">
        <f>SUM(P.25!L43)</f>
        <v>15376.536067796609</v>
      </c>
      <c r="D18" s="95">
        <f>SUM(P.25!M43)</f>
        <v>5083.8857307692306</v>
      </c>
      <c r="E18" s="95">
        <f>SUM(P.25!N43)</f>
        <v>11100.79969924812</v>
      </c>
      <c r="F18" s="95">
        <f>SUMIF(P.25!O43,"&gt;1",(P.25!O43))</f>
        <v>19239.378834951458</v>
      </c>
      <c r="G18" s="297">
        <f>SUM(P.25!P43)</f>
        <v>37121.876798780489</v>
      </c>
      <c r="H18" s="95">
        <f>SUM(P.25!Q43)</f>
        <v>38719.998815165876</v>
      </c>
      <c r="I18" s="95">
        <f>SUM(P.25!R43)</f>
        <v>10086.384929577463</v>
      </c>
      <c r="J18" s="298" t="s">
        <v>136</v>
      </c>
      <c r="K18" s="9">
        <f>RANK(G18,$G$4:$G$25,1)+COUNTIF($G$4:G18,G18)-1</f>
        <v>19</v>
      </c>
      <c r="L18" s="561" t="str">
        <f>INDEX(B4:I25,MATCH(15,K4:K25,0),1)</f>
        <v>Podkarpacie</v>
      </c>
      <c r="M18" s="296">
        <f>INDEX(B4:I25,MATCH(15,K4:K25,0),6)</f>
        <v>34538.310051078319</v>
      </c>
    </row>
    <row r="19" spans="1:13" x14ac:dyDescent="0.25">
      <c r="A19" s="9">
        <v>16</v>
      </c>
      <c r="B19" s="2" t="s">
        <v>84</v>
      </c>
      <c r="C19" s="1">
        <f>SUM(P.25!L44)</f>
        <v>21536.895444444446</v>
      </c>
      <c r="D19" s="1">
        <f>SUM(P.25!M44)</f>
        <v>10350.701666666666</v>
      </c>
      <c r="E19" s="1">
        <f>SUM(P.25!N44)</f>
        <v>11760.912112676056</v>
      </c>
      <c r="F19" s="1">
        <f>SUMIF(P.25!O44,"&gt;1",(P.25!O44))</f>
        <v>16076.913125000001</v>
      </c>
      <c r="G19" s="296">
        <f>SUM(P.25!P44)</f>
        <v>38178.404579439251</v>
      </c>
      <c r="H19" s="1">
        <f>SUM(P.25!Q44)</f>
        <v>16894.621830985914</v>
      </c>
      <c r="I19" s="1">
        <f>SUM(P.25!R44)</f>
        <v>14582.35294117647</v>
      </c>
      <c r="J19" s="2">
        <v>1817</v>
      </c>
      <c r="K19" s="9">
        <f>RANK(G19,$G$4:$G$25,1)+COUNTIF($G$4:G19,G19)-1</f>
        <v>20</v>
      </c>
      <c r="L19" s="2" t="str">
        <f>INDEX(B4:I25,MATCH(16,K4:K25,0),1)</f>
        <v>Strzyżów</v>
      </c>
      <c r="M19" s="1">
        <f>INDEX(B4:I25,MATCH(16,K4:K25,0),6)</f>
        <v>35097.770833333336</v>
      </c>
    </row>
    <row r="20" spans="1:13" x14ac:dyDescent="0.25">
      <c r="A20" s="9">
        <v>17</v>
      </c>
      <c r="B20" s="2" t="s">
        <v>85</v>
      </c>
      <c r="C20" s="1">
        <f>SUM(P.25!L45)</f>
        <v>17818.265393939393</v>
      </c>
      <c r="D20" s="1">
        <f>SUM(P.25!M45)</f>
        <v>12213.680476190479</v>
      </c>
      <c r="E20" s="1">
        <f>SUM(P.25!N45)</f>
        <v>12231.750729166668</v>
      </c>
      <c r="F20" s="1">
        <f>SUMIF(P.25!O45,"&gt;1",(P.25!O45))</f>
        <v>23889.046818181818</v>
      </c>
      <c r="G20" s="296">
        <f>SUM(P.25!P45)</f>
        <v>33058.030508474578</v>
      </c>
      <c r="H20" s="1">
        <f>SUM(P.25!Q45)</f>
        <v>18819.021555555555</v>
      </c>
      <c r="I20" s="1">
        <f>SUM(P.25!R45)</f>
        <v>5166.666666666667</v>
      </c>
      <c r="J20" s="2">
        <v>1818</v>
      </c>
      <c r="K20" s="9">
        <f>RANK(G20,$G$4:$G$25,1)+COUNTIF($G$4:G20,G20)-1</f>
        <v>11</v>
      </c>
      <c r="L20" s="2" t="str">
        <f>INDEX(B4:I25,MATCH(17,K4:K25,0),1)</f>
        <v>Jasło</v>
      </c>
      <c r="M20" s="1">
        <f>INDEX(B4:I25,MATCH(17,K4:K25,0),6)</f>
        <v>36474.390471698112</v>
      </c>
    </row>
    <row r="21" spans="1:13" x14ac:dyDescent="0.25">
      <c r="A21" s="9">
        <v>18</v>
      </c>
      <c r="B21" s="2" t="s">
        <v>86</v>
      </c>
      <c r="C21" s="1">
        <f>SUM(P.25!L46)</f>
        <v>15305.461784232366</v>
      </c>
      <c r="D21" s="1">
        <f>SUM(P.25!M46)</f>
        <v>13517.788409090908</v>
      </c>
      <c r="E21" s="1">
        <f>SUM(P.25!N46)</f>
        <v>17291.258000000002</v>
      </c>
      <c r="F21" s="1">
        <f>SUMIF(P.25!O46,"&gt;1",(P.25!O46))</f>
        <v>26515.304434782607</v>
      </c>
      <c r="G21" s="296">
        <f>SUM(P.25!P46)</f>
        <v>35097.770833333336</v>
      </c>
      <c r="H21" s="1">
        <f>SUM(P.25!Q46)</f>
        <v>31518.684507042253</v>
      </c>
      <c r="I21" s="1">
        <f>SUM(P.25!R46)</f>
        <v>15750</v>
      </c>
      <c r="J21" s="2">
        <v>1819</v>
      </c>
      <c r="K21" s="9">
        <f>RANK(G21,$G$4:$G$25,1)+COUNTIF($G$4:G21,G21)-1</f>
        <v>16</v>
      </c>
      <c r="L21" s="2" t="str">
        <f>INDEX(B4:I25,MATCH(18,K4:K25,0),1)</f>
        <v>Krosno</v>
      </c>
      <c r="M21" s="1">
        <f>INDEX(B4:I25,MATCH(18,K4:K25,0),6)</f>
        <v>36613.509012345676</v>
      </c>
    </row>
    <row r="22" spans="1:13" x14ac:dyDescent="0.25">
      <c r="A22" s="299">
        <v>19</v>
      </c>
      <c r="B22" s="298" t="s">
        <v>87</v>
      </c>
      <c r="C22" s="95">
        <f>SUM(P.25!L47)</f>
        <v>15039.525506329113</v>
      </c>
      <c r="D22" s="95">
        <f>SUM(P.25!M47)</f>
        <v>19238.223750000001</v>
      </c>
      <c r="E22" s="95">
        <f>SUM(P.25!N47)</f>
        <v>10424.767582417582</v>
      </c>
      <c r="F22" s="95">
        <f>SUMIF(P.25!O47,"&gt;1",(P.25!O47))</f>
        <v>21996.634620253164</v>
      </c>
      <c r="G22" s="297">
        <f>SUM(P.25!P47)</f>
        <v>24311.7</v>
      </c>
      <c r="H22" s="95">
        <f>SUM(P.25!Q47)</f>
        <v>27924.593214285713</v>
      </c>
      <c r="I22" s="95">
        <f>SUM(P.25!R47)</f>
        <v>9894.7368421052633</v>
      </c>
      <c r="J22" s="298" t="s">
        <v>137</v>
      </c>
      <c r="K22" s="9">
        <f>RANK(G22,$G$4:$G$25,1)+COUNTIF($G$4:G22,G22)-1</f>
        <v>1</v>
      </c>
      <c r="L22" s="2" t="str">
        <f>INDEX(B4:I25,MATCH(19,K4:K25,0),1)</f>
        <v>Rzeszów</v>
      </c>
      <c r="M22" s="1">
        <f>INDEX(B4:I25,MATCH(19,K4:K25,0),6)</f>
        <v>37121.876798780489</v>
      </c>
    </row>
    <row r="23" spans="1:13" x14ac:dyDescent="0.25">
      <c r="A23" s="9">
        <v>20</v>
      </c>
      <c r="B23" s="2" t="s">
        <v>88</v>
      </c>
      <c r="C23" s="1">
        <f>SUM(P.25!L48)</f>
        <v>18791.869565217392</v>
      </c>
      <c r="D23" s="1">
        <f>SUM(P.25!M48)</f>
        <v>17502.547500000001</v>
      </c>
      <c r="E23" s="1">
        <f>SUM(P.25!N48)</f>
        <v>15372.428285714286</v>
      </c>
      <c r="F23" s="1">
        <f>SUMIF(P.25!O48,"&gt;1",(P.25!O48))</f>
        <v>31909.594375000001</v>
      </c>
      <c r="G23" s="296">
        <f>SUM(P.25!P48)</f>
        <v>33514.66118644068</v>
      </c>
      <c r="H23" s="1">
        <f>SUM(P.25!Q48)</f>
        <v>34685.678709677421</v>
      </c>
      <c r="I23" s="1">
        <f>SUM(P.25!R48)</f>
        <v>19352.941176470587</v>
      </c>
      <c r="J23" s="2">
        <v>1821</v>
      </c>
      <c r="K23" s="9">
        <f>RANK(G23,$G$4:$G$25,1)+COUNTIF($G$4:G23,G23)-1</f>
        <v>12</v>
      </c>
      <c r="L23" s="2" t="str">
        <f>INDEX(B4:I25,MATCH(20,K4:K25,0),1)</f>
        <v>Sanok</v>
      </c>
      <c r="M23" s="1">
        <f>INDEX(B4:I25,MATCH(20,K4:K25,0),6)</f>
        <v>38178.404579439251</v>
      </c>
    </row>
    <row r="24" spans="1:13" x14ac:dyDescent="0.25">
      <c r="A24" s="299">
        <v>21</v>
      </c>
      <c r="B24" s="298" t="s">
        <v>91</v>
      </c>
      <c r="C24" s="95">
        <f>SUM(P.25!L49)</f>
        <v>20774.599173553717</v>
      </c>
      <c r="D24" s="95">
        <f>SUM(P.25!M49)</f>
        <v>15984.357894736842</v>
      </c>
      <c r="E24" s="95">
        <f>SUM(P.25!N49)</f>
        <v>15361.943445692883</v>
      </c>
      <c r="F24" s="95">
        <f>SUMIF(P.25!O49,"&gt;1",(P.25!O49))</f>
        <v>28646.019558823529</v>
      </c>
      <c r="G24" s="297">
        <f>SUM(P.25!P49)</f>
        <v>30128.816223776223</v>
      </c>
      <c r="H24" s="95">
        <f>SUM(P.25!Q49)</f>
        <v>44715.425000000003</v>
      </c>
      <c r="I24" s="95">
        <f>SUM(P.25!R49)</f>
        <v>11547.169811320755</v>
      </c>
      <c r="J24" s="298" t="s">
        <v>135</v>
      </c>
      <c r="K24" s="9">
        <f>RANK(G24,$G$4:$G$25,1)+COUNTIF($G$4:G24,G24)-1</f>
        <v>6</v>
      </c>
      <c r="L24" s="2" t="str">
        <f>INDEX(B4:I25,MATCH(21,K4:K25,0),1)</f>
        <v>Kolbuszowa</v>
      </c>
      <c r="M24" s="1">
        <f>INDEX(B4:I25,MATCH(21,K4:K25,0),6)</f>
        <v>58452.892368421053</v>
      </c>
    </row>
    <row r="25" spans="1:13" x14ac:dyDescent="0.25">
      <c r="A25" s="9">
        <v>22</v>
      </c>
      <c r="B25" s="11" t="s">
        <v>94</v>
      </c>
      <c r="C25" s="1">
        <f>SUM(P.25!L50)</f>
        <v>18392.965695890409</v>
      </c>
      <c r="D25" s="1">
        <f>SUM(P.25!M50)</f>
        <v>10098.81053030303</v>
      </c>
      <c r="E25" s="1">
        <f>SUM(P.25!N50)</f>
        <v>12347.160524385772</v>
      </c>
      <c r="F25" s="1">
        <f>SUMIF(P.25!O50,"&gt;1",(P.25!O50))</f>
        <v>22106.118038490007</v>
      </c>
      <c r="G25" s="296">
        <f>SUM(P.25!P50)</f>
        <v>34538.310051078319</v>
      </c>
      <c r="H25" s="1">
        <f>SUM(P.25!Q50)</f>
        <v>30333.703615857823</v>
      </c>
      <c r="I25" s="1">
        <f>SUM(P.25!R50)</f>
        <v>12881.823491204332</v>
      </c>
      <c r="J25" s="2">
        <v>1800</v>
      </c>
      <c r="K25" s="9">
        <f>RANK(G25,$G$4:$G$25,1)+COUNTIF($G$4:G25,G25)-1</f>
        <v>15</v>
      </c>
      <c r="L25" s="2" t="str">
        <f>INDEX(B4:I25,MATCH(22,K4:K25,0),1)</f>
        <v>Nisko</v>
      </c>
      <c r="M25" s="1">
        <f>INDEX(B4:I25,MATCH(22,K4:K25,0),6)</f>
        <v>60783.114035087718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</row>
    <row r="28" spans="1:13" x14ac:dyDescent="0.25">
      <c r="A28" s="9">
        <v>2</v>
      </c>
      <c r="B28" s="10" t="s">
        <v>2</v>
      </c>
      <c r="C28" s="8" t="s">
        <v>143</v>
      </c>
    </row>
    <row r="29" spans="1:13" x14ac:dyDescent="0.25">
      <c r="A29" s="9">
        <v>3</v>
      </c>
      <c r="B29" s="10" t="s">
        <v>3</v>
      </c>
      <c r="C29" s="8" t="s">
        <v>143</v>
      </c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294">
        <v>5</v>
      </c>
      <c r="B31" s="295" t="s">
        <v>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F766C-99C6-4820-9C51-0B27D128569D}">
  <sheetPr>
    <tabColor theme="0"/>
  </sheetPr>
  <dimension ref="A1:M33"/>
  <sheetViews>
    <sheetView zoomScale="80" zoomScaleNormal="80" workbookViewId="0">
      <selection activeCell="F1" sqref="F1"/>
    </sheetView>
  </sheetViews>
  <sheetFormatPr defaultRowHeight="15" x14ac:dyDescent="0.25"/>
  <cols>
    <col min="1" max="1" width="6" style="8" customWidth="1"/>
    <col min="2" max="2" width="13.42578125" style="8" customWidth="1"/>
    <col min="3" max="3" width="14.7109375" style="8" customWidth="1"/>
    <col min="4" max="4" width="13.28515625" style="8" customWidth="1"/>
    <col min="5" max="5" width="12.5703125" style="8" customWidth="1"/>
    <col min="6" max="6" width="13.28515625" style="8" customWidth="1"/>
    <col min="7" max="9" width="13" style="8" customWidth="1"/>
    <col min="10" max="10" width="11" style="5" customWidth="1"/>
    <col min="11" max="11" width="7.28515625" style="5" customWidth="1"/>
    <col min="12" max="12" width="14.42578125" style="5" customWidth="1"/>
    <col min="13" max="13" width="11.5703125" style="8" customWidth="1"/>
    <col min="14" max="16384" width="9.140625" style="8"/>
  </cols>
  <sheetData>
    <row r="1" spans="1:13" x14ac:dyDescent="0.25">
      <c r="A1" s="8" t="s">
        <v>133</v>
      </c>
      <c r="B1" s="471">
        <v>2025</v>
      </c>
    </row>
    <row r="2" spans="1:13" x14ac:dyDescent="0.25">
      <c r="A2" s="8" t="s">
        <v>299</v>
      </c>
    </row>
    <row r="3" spans="1:13" x14ac:dyDescent="0.25">
      <c r="A3" s="294">
        <f>SUM(P.!K26)</f>
        <v>0</v>
      </c>
      <c r="B3" s="295" t="s">
        <v>95</v>
      </c>
      <c r="C3" s="294" t="s">
        <v>127</v>
      </c>
      <c r="D3" s="294" t="s">
        <v>126</v>
      </c>
      <c r="E3" s="294" t="s">
        <v>140</v>
      </c>
      <c r="F3" s="294" t="s">
        <v>130</v>
      </c>
      <c r="G3" s="294" t="s">
        <v>141</v>
      </c>
      <c r="H3" s="294" t="s">
        <v>139</v>
      </c>
      <c r="I3" s="294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1">
        <f>SUM(P.25!L27)</f>
        <v>17215.242705882352</v>
      </c>
      <c r="D4" s="1">
        <f>SUM(P.25!M27)</f>
        <v>20668.188571428571</v>
      </c>
      <c r="E4" s="1">
        <f>SUM(P.25!N27)</f>
        <v>18468.831372549019</v>
      </c>
      <c r="F4" s="1">
        <f>SUMIF(P.25!O27,"&gt;1",(P.25!O27))</f>
        <v>32760.230833333335</v>
      </c>
      <c r="G4" s="1">
        <f>SUMIF(P.25!P27,"&gt;1",(P.25!P27))</f>
        <v>30990.075000000001</v>
      </c>
      <c r="H4" s="296">
        <f>SUMIF(P.25!Q27,"&gt;1",(P.25!Q27))</f>
        <v>8284.1247368421045</v>
      </c>
      <c r="I4" s="1">
        <f>SUMIF(P.25!R27,"&gt;1",(P.25!R27))</f>
        <v>12025</v>
      </c>
      <c r="J4" s="2">
        <v>1801</v>
      </c>
      <c r="K4" s="12">
        <f>RANK(H4,$H$4:$H$25,1)+COUNTIF($H$4:H4,H4)-1</f>
        <v>2</v>
      </c>
      <c r="L4" s="2" t="str">
        <f>INDEX(B4:I25,MATCH(1,K4:K25,0),1)</f>
        <v>Lubaczów</v>
      </c>
      <c r="M4" s="296">
        <f>INDEX(B4:I25,MATCH(1,K4:K25,0),7)</f>
        <v>0</v>
      </c>
    </row>
    <row r="5" spans="1:13" x14ac:dyDescent="0.25">
      <c r="A5" s="9">
        <v>2</v>
      </c>
      <c r="B5" s="2" t="s">
        <v>70</v>
      </c>
      <c r="C5" s="1">
        <f>SUM(P.25!L28)</f>
        <v>19766.191826923077</v>
      </c>
      <c r="D5" s="1">
        <f>SUM(P.25!M28)</f>
        <v>9153.7711764705873</v>
      </c>
      <c r="E5" s="1">
        <f>SUM(P.25!N28)</f>
        <v>9294.6093382352956</v>
      </c>
      <c r="F5" s="1">
        <f>SUMIF(P.25!O28,"&gt;1",(P.25!O28))</f>
        <v>21926.968000000001</v>
      </c>
      <c r="G5" s="1">
        <f>SUM(P.25!P28)</f>
        <v>33882.403969465646</v>
      </c>
      <c r="H5" s="296">
        <f>SUM(P.25!Q28)</f>
        <v>49516.699574468083</v>
      </c>
      <c r="I5" s="1">
        <f>SUM(P.25!R28)</f>
        <v>17660.377358490565</v>
      </c>
      <c r="J5" s="2">
        <v>1802</v>
      </c>
      <c r="K5" s="12">
        <f>RANK(H5,$H$4:$H$25,1)+COUNTIF($H$4:H5,H5)-1</f>
        <v>21</v>
      </c>
      <c r="L5" s="11" t="str">
        <f>INDEX(B4:I25,MATCH(2,K4:K25,0),1)</f>
        <v>Ustrzyki Dolne</v>
      </c>
      <c r="M5" s="1">
        <f>INDEX(B4:I25,MATCH(2,K4:K25,0),7)</f>
        <v>8284.1247368421045</v>
      </c>
    </row>
    <row r="6" spans="1:13" x14ac:dyDescent="0.25">
      <c r="A6" s="9">
        <v>3</v>
      </c>
      <c r="B6" s="2" t="s">
        <v>71</v>
      </c>
      <c r="C6" s="1">
        <f>SUM(P.25!L29)</f>
        <v>24909.382870370373</v>
      </c>
      <c r="D6" s="1">
        <f>SUM(P.25!M29)</f>
        <v>7253.38</v>
      </c>
      <c r="E6" s="1">
        <f>SUM(P.25!N29)</f>
        <v>9652.3577173913054</v>
      </c>
      <c r="F6" s="1">
        <f>SUMIF(P.25!O29,"&gt;1",(P.25!O29))</f>
        <v>11656.7925</v>
      </c>
      <c r="G6" s="1">
        <f>SUM(P.25!P29)</f>
        <v>24340.21305882353</v>
      </c>
      <c r="H6" s="296">
        <f>SUM(P.25!Q29)</f>
        <v>34076.923076923078</v>
      </c>
      <c r="I6" s="1">
        <f>SUM(P.25!R29)</f>
        <v>8275.8620689655181</v>
      </c>
      <c r="J6" s="2">
        <v>1803</v>
      </c>
      <c r="K6" s="12">
        <f>RANK(H6,$H$4:$H$25,1)+COUNTIF($H$4:H6,H6)-1</f>
        <v>15</v>
      </c>
      <c r="L6" s="11" t="str">
        <f>INDEX(B4:I25,MATCH(3,K4:K25,0),1)</f>
        <v>Leżajsk</v>
      </c>
      <c r="M6" s="1">
        <f>INDEX(B4:I25,MATCH(3,K4:K25,0),7)</f>
        <v>15035.338666666667</v>
      </c>
    </row>
    <row r="7" spans="1:13" x14ac:dyDescent="0.25">
      <c r="A7" s="9">
        <v>4</v>
      </c>
      <c r="B7" s="2" t="s">
        <v>72</v>
      </c>
      <c r="C7" s="1">
        <f>SUM(P.25!L30)</f>
        <v>16915.526422413794</v>
      </c>
      <c r="D7" s="1">
        <f>SUM(P.25!M30)</f>
        <v>13146.98625</v>
      </c>
      <c r="E7" s="1">
        <f>SUM(P.25!N30)</f>
        <v>7179.6699200000003</v>
      </c>
      <c r="F7" s="1">
        <f>SUMIF(P.25!O30,"&gt;1",(P.25!O30))</f>
        <v>25593.756434782612</v>
      </c>
      <c r="G7" s="1">
        <f>SUM(P.25!P30)</f>
        <v>25844.193548387098</v>
      </c>
      <c r="H7" s="296">
        <f>SUM(P.25!Q30)</f>
        <v>18706.133739837402</v>
      </c>
      <c r="I7" s="1">
        <f>SUM(P.25!R30)</f>
        <v>40426.620000000003</v>
      </c>
      <c r="J7" s="2">
        <v>1804</v>
      </c>
      <c r="K7" s="12">
        <f>RANK(H7,$H$4:$H$25,1)+COUNTIF($H$4:H7,H7)-1</f>
        <v>6</v>
      </c>
      <c r="L7" s="11" t="str">
        <f>INDEX(B4:I25,MATCH(4,K4:K25,0),1)</f>
        <v>Ropczyce</v>
      </c>
      <c r="M7" s="1">
        <f>INDEX(B4:I25,MATCH(4,K4:K25,0),7)</f>
        <v>16189.324675324675</v>
      </c>
    </row>
    <row r="8" spans="1:13" x14ac:dyDescent="0.25">
      <c r="A8" s="9">
        <v>5</v>
      </c>
      <c r="B8" s="2" t="s">
        <v>73</v>
      </c>
      <c r="C8" s="1">
        <f>SUM(P.25!L31)</f>
        <v>19743.800962566846</v>
      </c>
      <c r="D8" s="1">
        <f>SUM(P.25!M31)</f>
        <v>17613.050666666666</v>
      </c>
      <c r="E8" s="1">
        <f>SUM(P.25!N31)</f>
        <v>9960.3185333333331</v>
      </c>
      <c r="F8" s="1">
        <f>SUMIF(P.25!O31,"&gt;1",(P.25!O31))</f>
        <v>21041.448360655741</v>
      </c>
      <c r="G8" s="1">
        <f>SUM(P.25!P31)</f>
        <v>36474.390471698112</v>
      </c>
      <c r="H8" s="296">
        <f>SUM(P.25!Q31)</f>
        <v>39148.718687500004</v>
      </c>
      <c r="I8" s="1">
        <f>SUM(P.25!R31)</f>
        <v>16238.344054054054</v>
      </c>
      <c r="J8" s="2">
        <v>1805</v>
      </c>
      <c r="K8" s="12">
        <f>RANK(H8,$H$4:$H$25,1)+COUNTIF($H$4:H8,H8)-1</f>
        <v>19</v>
      </c>
      <c r="L8" s="11" t="str">
        <f>INDEX(B4:I25,MATCH(5,K4:K25,0),1)</f>
        <v>Sanok</v>
      </c>
      <c r="M8" s="1">
        <f>INDEX(B4:I25,MATCH(5,K4:K25,0),7)</f>
        <v>16894.621830985914</v>
      </c>
    </row>
    <row r="9" spans="1:13" x14ac:dyDescent="0.25">
      <c r="A9" s="9">
        <v>6</v>
      </c>
      <c r="B9" s="2" t="s">
        <v>74</v>
      </c>
      <c r="C9" s="1">
        <f>SUM(P.25!L32)</f>
        <v>21030.050721649484</v>
      </c>
      <c r="D9" s="1">
        <f>SUM(P.25!M32)</f>
        <v>17478.610999999997</v>
      </c>
      <c r="E9" s="1">
        <f>SUM(P.25!N32)</f>
        <v>9612.0897777777773</v>
      </c>
      <c r="F9" s="1">
        <f>SUMIF(P.25!O32,"&gt;1",(P.25!O32))</f>
        <v>26057.456249999999</v>
      </c>
      <c r="G9" s="1">
        <f>SUM(P.25!P32)</f>
        <v>58452.892368421053</v>
      </c>
      <c r="H9" s="296">
        <f>SUM(P.25!Q32)</f>
        <v>19882.358285714286</v>
      </c>
      <c r="I9" s="562">
        <f>SUMIF(P.25!R32,"&gt;1",(P.25!R32))</f>
        <v>0</v>
      </c>
      <c r="J9" s="2">
        <v>1806</v>
      </c>
      <c r="K9" s="12">
        <f>RANK(H9,$H$4:$H$25,1)+COUNTIF($H$4:H9,H9)-1</f>
        <v>8</v>
      </c>
      <c r="L9" s="11" t="str">
        <f>INDEX(B4:I25,MATCH(6,K4:K25,0),1)</f>
        <v>Jarosław</v>
      </c>
      <c r="M9" s="1">
        <f>INDEX(B4:I25,MATCH(6,K4:K25,0),7)</f>
        <v>18706.133739837402</v>
      </c>
    </row>
    <row r="10" spans="1:13" x14ac:dyDescent="0.25">
      <c r="A10" s="299">
        <v>7</v>
      </c>
      <c r="B10" s="298" t="s">
        <v>75</v>
      </c>
      <c r="C10" s="95">
        <f>SUM(P.25!L33)</f>
        <v>16338.483195266273</v>
      </c>
      <c r="D10" s="95">
        <f>SUM(P.25!M33)</f>
        <v>13560.481428571427</v>
      </c>
      <c r="E10" s="95">
        <f>SUM(P.25!N33)</f>
        <v>10450.554743589744</v>
      </c>
      <c r="F10" s="95">
        <f>SUMIF(P.25!O33,"&gt;1",(P.25!O33))</f>
        <v>14616.336666666668</v>
      </c>
      <c r="G10" s="95">
        <f>SUM(P.25!P33)</f>
        <v>36613.509012345676</v>
      </c>
      <c r="H10" s="297">
        <f>SUM(P.25!Q33)</f>
        <v>33816.54367088608</v>
      </c>
      <c r="I10" s="95">
        <f>SUM(P.25!R33)</f>
        <v>9939.3939393939399</v>
      </c>
      <c r="J10" s="298" t="s">
        <v>134</v>
      </c>
      <c r="K10" s="12">
        <f>RANK(H10,$H$4:$H$25,1)+COUNTIF($H$4:H10,H10)-1</f>
        <v>14</v>
      </c>
      <c r="L10" s="11" t="str">
        <f>INDEX(B4:I25,MATCH(7,K4:K25,0),1)</f>
        <v>Stalowa Wola</v>
      </c>
      <c r="M10" s="1">
        <f>INDEX(B4:I25,MATCH(7,K4:K25,0),7)</f>
        <v>18819.021555555555</v>
      </c>
    </row>
    <row r="11" spans="1:13" x14ac:dyDescent="0.25">
      <c r="A11" s="9">
        <v>8</v>
      </c>
      <c r="B11" s="2" t="s">
        <v>76</v>
      </c>
      <c r="C11" s="1">
        <f>SUM(P.25!L35)</f>
        <v>17831.99090909091</v>
      </c>
      <c r="D11" s="1">
        <f>SUM(P.25!M35)</f>
        <v>25349.94875</v>
      </c>
      <c r="E11" s="1">
        <f>SUM(P.25!N35)</f>
        <v>9857.1518309859166</v>
      </c>
      <c r="F11" s="1">
        <f>SUMIF(P.25!O35,"&gt;1",(P.25!O35))</f>
        <v>12182.592554744526</v>
      </c>
      <c r="G11" s="1">
        <f>SUM(P.25!P35)</f>
        <v>33798.138983050849</v>
      </c>
      <c r="H11" s="296">
        <f>SUM(P.25!Q35)</f>
        <v>15035.338666666667</v>
      </c>
      <c r="I11" s="1">
        <f>SUM(P.25!R35)</f>
        <v>10476.190476190477</v>
      </c>
      <c r="J11" s="2">
        <v>1808</v>
      </c>
      <c r="K11" s="12">
        <f>RANK(H11,$H$4:$H$25,1)+COUNTIF($H$4:H11,H11)-1</f>
        <v>3</v>
      </c>
      <c r="L11" s="11" t="str">
        <f>INDEX(B4:I25,MATCH(8,K4:K25,0),1)</f>
        <v>Kolbuszowa</v>
      </c>
      <c r="M11" s="1">
        <f>INDEX(B4:I25,MATCH(8,K4:K25,0),7)</f>
        <v>19882.358285714286</v>
      </c>
    </row>
    <row r="12" spans="1:13" x14ac:dyDescent="0.25">
      <c r="A12" s="9">
        <v>9</v>
      </c>
      <c r="B12" s="2" t="s">
        <v>77</v>
      </c>
      <c r="C12" s="1">
        <f>SUM(P.25!L36)</f>
        <v>14347.0075</v>
      </c>
      <c r="D12" s="1">
        <f>SUM(P.25!M36)</f>
        <v>9785.2900000000009</v>
      </c>
      <c r="E12" s="1">
        <f>SUM(P.25!N36)</f>
        <v>11910.110540540541</v>
      </c>
      <c r="F12" s="1">
        <f>SUMIF(P.25!O36,"&gt;1",(P.25!O36))</f>
        <v>22177.651249999999</v>
      </c>
      <c r="G12" s="1">
        <f>SUM(P.25!P36)</f>
        <v>27639.703703703704</v>
      </c>
      <c r="H12" s="296">
        <f>SUMIF(P.25!Q36,"&gt;1",(P.25!Q36))</f>
        <v>0</v>
      </c>
      <c r="I12" s="1">
        <f>SUMIF(P.25!R36,"&gt;1",(P.25!R36))</f>
        <v>10320.76923076923</v>
      </c>
      <c r="J12" s="2">
        <v>1809</v>
      </c>
      <c r="K12" s="12">
        <f>RANK(H12,$H$4:$H$25,1)+COUNTIF($H$4:H12,H12)-1</f>
        <v>1</v>
      </c>
      <c r="L12" s="11" t="str">
        <f>INDEX(B4:I25,MATCH(9,K4:K25,0),1)</f>
        <v>Nisko</v>
      </c>
      <c r="M12" s="1">
        <f>INDEX(B4:I25,MATCH(9,K4:K25,0),7)</f>
        <v>20980.357142857141</v>
      </c>
    </row>
    <row r="13" spans="1:13" x14ac:dyDescent="0.25">
      <c r="A13" s="9">
        <v>10</v>
      </c>
      <c r="B13" s="2" t="s">
        <v>78</v>
      </c>
      <c r="C13" s="1">
        <f>SUM(P.25!L37)</f>
        <v>21100.202897196261</v>
      </c>
      <c r="D13" s="1">
        <f>SUM(P.25!M37)</f>
        <v>6174.4281250000004</v>
      </c>
      <c r="E13" s="1">
        <f>SUM(P.25!N37)</f>
        <v>14383.268333333333</v>
      </c>
      <c r="F13" s="1">
        <f>SUMIF(P.25!O37,"&gt;1",(P.25!O37))</f>
        <v>19806.177179487182</v>
      </c>
      <c r="G13" s="1">
        <f>SUM(P.25!P37)</f>
        <v>30002.293043478257</v>
      </c>
      <c r="H13" s="296">
        <f>SUM(P.25!Q37)</f>
        <v>35444.152033898303</v>
      </c>
      <c r="I13" s="1">
        <f>SUM(P.25!R37)</f>
        <v>11956.521739130434</v>
      </c>
      <c r="J13" s="2">
        <v>1810</v>
      </c>
      <c r="K13" s="12">
        <f>RANK(H13,$H$4:$H$25,1)+COUNTIF($H$4:H13,H13)-1</f>
        <v>17</v>
      </c>
      <c r="L13" s="11" t="str">
        <f>INDEX(B4:I25,MATCH(10,K4:K25,0),1)</f>
        <v>Tarnobrzeg</v>
      </c>
      <c r="M13" s="1">
        <f>INDEX(B4:I25,MATCH(10,K4:K25,0),7)</f>
        <v>27924.593214285713</v>
      </c>
    </row>
    <row r="14" spans="1:13" x14ac:dyDescent="0.25">
      <c r="A14" s="9">
        <v>11</v>
      </c>
      <c r="B14" s="2" t="s">
        <v>79</v>
      </c>
      <c r="C14" s="1">
        <f>SUM(P.25!L38)</f>
        <v>17626.840360824743</v>
      </c>
      <c r="D14" s="1">
        <f>SUM(P.25!M38)</f>
        <v>11511.252500000001</v>
      </c>
      <c r="E14" s="1">
        <f>SUM(P.25!N38)</f>
        <v>11450.537990196079</v>
      </c>
      <c r="F14" s="1">
        <f>SUMIF(P.25!O38,"&gt;1",(P.25!O38))</f>
        <v>11067.973333333333</v>
      </c>
      <c r="G14" s="1">
        <f>SUM(P.25!P38)</f>
        <v>32977.792535211265</v>
      </c>
      <c r="H14" s="296">
        <f>SUM(P.25!Q38)</f>
        <v>32376.172500000004</v>
      </c>
      <c r="I14" s="1">
        <f>SUM(P.25!R38)</f>
        <v>14000</v>
      </c>
      <c r="J14" s="2">
        <v>1811</v>
      </c>
      <c r="K14" s="56">
        <f>RANK(H14,$H$4:$H$25,1)+COUNTIF($H$4:H14,H14)-1</f>
        <v>13</v>
      </c>
      <c r="L14" s="300" t="str">
        <f>INDEX(B4:I25,MATCH(11,K4:K25,0),1)</f>
        <v>Podkarpacie</v>
      </c>
      <c r="M14" s="296">
        <f>INDEX(B4:I25,MATCH(11,K4:K25,0),7)</f>
        <v>30333.703615857823</v>
      </c>
    </row>
    <row r="15" spans="1:13" x14ac:dyDescent="0.25">
      <c r="A15" s="9">
        <v>12</v>
      </c>
      <c r="B15" s="2" t="s">
        <v>80</v>
      </c>
      <c r="C15" s="1">
        <f>SUM(P.25!L39)</f>
        <v>22950.568740740739</v>
      </c>
      <c r="D15" s="1">
        <f>SUM(P.25!M39)</f>
        <v>20913.46125</v>
      </c>
      <c r="E15" s="1">
        <f>SUM(P.25!N39)</f>
        <v>11318.09407079646</v>
      </c>
      <c r="F15" s="1">
        <f>SUMIF(P.25!O39,"&gt;1",(P.25!O39))</f>
        <v>22862.37</v>
      </c>
      <c r="G15" s="1">
        <f>SUM(P.25!P39)</f>
        <v>60783.114035087718</v>
      </c>
      <c r="H15" s="296">
        <f>SUM(P.25!Q39)</f>
        <v>20980.357142857141</v>
      </c>
      <c r="I15" s="1">
        <f>SUM(P.25!R39)</f>
        <v>5454.545454545455</v>
      </c>
      <c r="J15" s="2">
        <v>1812</v>
      </c>
      <c r="K15" s="12">
        <f>RANK(H15,$H$4:$H$25,1)+COUNTIF($H$4:H15,H15)-1</f>
        <v>9</v>
      </c>
      <c r="L15" s="57" t="str">
        <f>INDEX(B4:I25,MATCH(12,K4:K25,0),1)</f>
        <v>Strzyżów</v>
      </c>
      <c r="M15" s="15">
        <f>INDEX(B4:I25,MATCH(12,K4:K25,0),7)</f>
        <v>31518.684507042253</v>
      </c>
    </row>
    <row r="16" spans="1:13" x14ac:dyDescent="0.25">
      <c r="A16" s="9">
        <v>13</v>
      </c>
      <c r="B16" s="2" t="s">
        <v>81</v>
      </c>
      <c r="C16" s="1">
        <f>SUM(P.25!L40)</f>
        <v>23368.433911290325</v>
      </c>
      <c r="D16" s="1">
        <f>SUM(P.25!M40)</f>
        <v>9671.8372972972975</v>
      </c>
      <c r="E16" s="1">
        <f>SUM(P.25!N40)</f>
        <v>18597.644124999999</v>
      </c>
      <c r="F16" s="1">
        <f>SUMIF(P.25!O40,"&gt;1",(P.25!O40))</f>
        <v>24405.43619047619</v>
      </c>
      <c r="G16" s="1">
        <f>SUM(P.25!P40)</f>
        <v>31429.579649122807</v>
      </c>
      <c r="H16" s="296">
        <f>SUM(P.25!Q40)</f>
        <v>52122.054857142852</v>
      </c>
      <c r="I16" s="1">
        <f>SUM(P.25!R40)</f>
        <v>11666.666666666666</v>
      </c>
      <c r="J16" s="2">
        <v>1814</v>
      </c>
      <c r="K16" s="13">
        <f>RANK(H16,$H$4:$H$25,1)+COUNTIF($H$4:H16,H16)-1</f>
        <v>22</v>
      </c>
      <c r="L16" s="14" t="str">
        <f>INDEX(B4:I25,MATCH(13,K4:K25,0),1)</f>
        <v>Mielec</v>
      </c>
      <c r="M16" s="1">
        <f>INDEX(B4:I25,MATCH(13,K4:K25,0),7)</f>
        <v>32376.172500000004</v>
      </c>
    </row>
    <row r="17" spans="1:13" x14ac:dyDescent="0.25">
      <c r="A17" s="9">
        <v>14</v>
      </c>
      <c r="B17" s="2" t="s">
        <v>82</v>
      </c>
      <c r="C17" s="1">
        <f>SUM(P.25!L41)</f>
        <v>18855.229770114944</v>
      </c>
      <c r="D17" s="1">
        <f>SUM(P.25!M41)</f>
        <v>15120.53</v>
      </c>
      <c r="E17" s="1">
        <f>SUM(P.25!N41)</f>
        <v>15478.092470588237</v>
      </c>
      <c r="F17" s="1">
        <f>SUMIF(P.25!O41,"&gt;1",(P.25!O41))</f>
        <v>25674.542000000001</v>
      </c>
      <c r="G17" s="1">
        <f>SUM(P.25!P41)</f>
        <v>32659.126718750002</v>
      </c>
      <c r="H17" s="296">
        <f>SUM(P.25!Q41)</f>
        <v>16189.324675324675</v>
      </c>
      <c r="I17" s="1">
        <f>SUM(P.25!R41)</f>
        <v>6666.666666666667</v>
      </c>
      <c r="J17" s="2">
        <v>1815</v>
      </c>
      <c r="K17" s="13">
        <f>RANK(H17,$H$4:$H$25,1)+COUNTIF($H$4:H17,H17)-1</f>
        <v>4</v>
      </c>
      <c r="L17" s="14" t="str">
        <f>INDEX(B4:I25,MATCH(14,K4:K25,0),1)</f>
        <v>Krosno</v>
      </c>
      <c r="M17" s="1">
        <f>INDEX(B4:I25,MATCH(14,K4:K25,0),7)</f>
        <v>33816.54367088608</v>
      </c>
    </row>
    <row r="18" spans="1:13" x14ac:dyDescent="0.25">
      <c r="A18" s="299">
        <v>15</v>
      </c>
      <c r="B18" s="298" t="s">
        <v>83</v>
      </c>
      <c r="C18" s="95">
        <f>SUM(P.25!L43)</f>
        <v>15376.536067796609</v>
      </c>
      <c r="D18" s="95">
        <f>SUM(P.25!M43)</f>
        <v>5083.8857307692306</v>
      </c>
      <c r="E18" s="95">
        <f>SUM(P.25!N43)</f>
        <v>11100.79969924812</v>
      </c>
      <c r="F18" s="95">
        <f>SUMIF(P.25!O43,"&gt;1",(P.25!O43))</f>
        <v>19239.378834951458</v>
      </c>
      <c r="G18" s="95">
        <f>SUM(P.25!P43)</f>
        <v>37121.876798780489</v>
      </c>
      <c r="H18" s="297">
        <f>SUM(P.25!Q43)</f>
        <v>38719.998815165876</v>
      </c>
      <c r="I18" s="95">
        <f>SUM(P.25!R43)</f>
        <v>10086.384929577463</v>
      </c>
      <c r="J18" s="298" t="s">
        <v>136</v>
      </c>
      <c r="K18" s="9">
        <f>RANK(H18,$H$4:$H$25,1)+COUNTIF($H$4:H18,H18)-1</f>
        <v>18</v>
      </c>
      <c r="L18" s="2" t="str">
        <f>INDEX(B4:I25,MATCH(15,K4:K25,0),1)</f>
        <v>Dębica</v>
      </c>
      <c r="M18" s="1">
        <f>INDEX(B4:I25,MATCH(15,K4:K25,0),7)</f>
        <v>34076.923076923078</v>
      </c>
    </row>
    <row r="19" spans="1:13" x14ac:dyDescent="0.25">
      <c r="A19" s="9">
        <v>16</v>
      </c>
      <c r="B19" s="2" t="s">
        <v>84</v>
      </c>
      <c r="C19" s="1">
        <f>SUM(P.25!L44)</f>
        <v>21536.895444444446</v>
      </c>
      <c r="D19" s="1">
        <f>SUM(P.25!M44)</f>
        <v>10350.701666666666</v>
      </c>
      <c r="E19" s="1">
        <f>SUM(P.25!N44)</f>
        <v>11760.912112676056</v>
      </c>
      <c r="F19" s="1">
        <f>SUMIF(P.25!O44,"&gt;1",(P.25!O44))</f>
        <v>16076.913125000001</v>
      </c>
      <c r="G19" s="1">
        <f>SUM(P.25!P44)</f>
        <v>38178.404579439251</v>
      </c>
      <c r="H19" s="296">
        <f>SUM(P.25!Q44)</f>
        <v>16894.621830985914</v>
      </c>
      <c r="I19" s="1">
        <f>SUM(P.25!R44)</f>
        <v>14582.35294117647</v>
      </c>
      <c r="J19" s="2">
        <v>1817</v>
      </c>
      <c r="K19" s="9">
        <f>RANK(H19,$H$4:$H$25,1)+COUNTIF($H$4:H19,H19)-1</f>
        <v>5</v>
      </c>
      <c r="L19" s="2" t="str">
        <f>INDEX(B4:I25,MATCH(16,K4:K25,0),1)</f>
        <v>Lesko</v>
      </c>
      <c r="M19" s="1">
        <f>INDEX(B4:I25,MATCH(16,K4:K25,0),7)</f>
        <v>34685.678709677421</v>
      </c>
    </row>
    <row r="20" spans="1:13" x14ac:dyDescent="0.25">
      <c r="A20" s="9">
        <v>17</v>
      </c>
      <c r="B20" s="2" t="s">
        <v>85</v>
      </c>
      <c r="C20" s="1">
        <f>SUM(P.25!L45)</f>
        <v>17818.265393939393</v>
      </c>
      <c r="D20" s="1">
        <f>SUM(P.25!M45)</f>
        <v>12213.680476190479</v>
      </c>
      <c r="E20" s="1">
        <f>SUM(P.25!N45)</f>
        <v>12231.750729166668</v>
      </c>
      <c r="F20" s="1">
        <f>SUMIF(P.25!O45,"&gt;1",(P.25!O45))</f>
        <v>23889.046818181818</v>
      </c>
      <c r="G20" s="1">
        <f>SUM(P.25!P45)</f>
        <v>33058.030508474578</v>
      </c>
      <c r="H20" s="296">
        <f>SUM(P.25!Q45)</f>
        <v>18819.021555555555</v>
      </c>
      <c r="I20" s="1">
        <f>SUM(P.25!R45)</f>
        <v>5166.666666666667</v>
      </c>
      <c r="J20" s="2">
        <v>1818</v>
      </c>
      <c r="K20" s="9">
        <f>RANK(H20,$H$4:$H$25,1)+COUNTIF($H$4:H20,H20)-1</f>
        <v>7</v>
      </c>
      <c r="L20" s="2" t="str">
        <f>INDEX(B4:I25,MATCH(17,K4:K25,0),1)</f>
        <v>Łańcut</v>
      </c>
      <c r="M20" s="1">
        <f>INDEX(B4:I25,MATCH(17,K4:K25,0),7)</f>
        <v>35444.152033898303</v>
      </c>
    </row>
    <row r="21" spans="1:13" x14ac:dyDescent="0.25">
      <c r="A21" s="9">
        <v>18</v>
      </c>
      <c r="B21" s="2" t="s">
        <v>86</v>
      </c>
      <c r="C21" s="1">
        <f>SUM(P.25!L46)</f>
        <v>15305.461784232366</v>
      </c>
      <c r="D21" s="1">
        <f>SUM(P.25!M46)</f>
        <v>13517.788409090908</v>
      </c>
      <c r="E21" s="1">
        <f>SUM(P.25!N46)</f>
        <v>17291.258000000002</v>
      </c>
      <c r="F21" s="1">
        <f>SUMIF(P.25!O46,"&gt;1",(P.25!O46))</f>
        <v>26515.304434782607</v>
      </c>
      <c r="G21" s="1">
        <f>SUM(P.25!P46)</f>
        <v>35097.770833333336</v>
      </c>
      <c r="H21" s="296">
        <f>SUM(P.25!Q46)</f>
        <v>31518.684507042253</v>
      </c>
      <c r="I21" s="1">
        <f>SUM(P.25!R46)</f>
        <v>15750</v>
      </c>
      <c r="J21" s="2">
        <v>1819</v>
      </c>
      <c r="K21" s="9">
        <f>RANK(H21,$H$4:$H$25,1)+COUNTIF($H$4:H21,H21)-1</f>
        <v>12</v>
      </c>
      <c r="L21" s="2" t="str">
        <f>INDEX(B4:I25,MATCH(18,K4:K25,0),1)</f>
        <v>Rzeszów</v>
      </c>
      <c r="M21" s="1">
        <f>INDEX(B4:I25,MATCH(18,K4:K25,0),7)</f>
        <v>38719.998815165876</v>
      </c>
    </row>
    <row r="22" spans="1:13" x14ac:dyDescent="0.25">
      <c r="A22" s="299">
        <v>19</v>
      </c>
      <c r="B22" s="298" t="s">
        <v>87</v>
      </c>
      <c r="C22" s="95">
        <f>SUM(P.25!L47)</f>
        <v>15039.525506329113</v>
      </c>
      <c r="D22" s="95">
        <f>SUM(P.25!M47)</f>
        <v>19238.223750000001</v>
      </c>
      <c r="E22" s="95">
        <f>SUM(P.25!N47)</f>
        <v>10424.767582417582</v>
      </c>
      <c r="F22" s="95">
        <f>SUMIF(P.25!O47,"&gt;1",(P.25!O47))</f>
        <v>21996.634620253164</v>
      </c>
      <c r="G22" s="95">
        <f>SUM(P.25!P47)</f>
        <v>24311.7</v>
      </c>
      <c r="H22" s="297">
        <f>SUM(P.25!Q47)</f>
        <v>27924.593214285713</v>
      </c>
      <c r="I22" s="95">
        <f>SUM(P.25!R47)</f>
        <v>9894.7368421052633</v>
      </c>
      <c r="J22" s="298" t="s">
        <v>137</v>
      </c>
      <c r="K22" s="9">
        <f>RANK(H22,$H$4:$H$25,1)+COUNTIF($H$4:H22,H22)-1</f>
        <v>10</v>
      </c>
      <c r="L22" s="2" t="str">
        <f>INDEX(B4:I25,MATCH(19,K4:K25,0),1)</f>
        <v>Jasło</v>
      </c>
      <c r="M22" s="1">
        <f>INDEX(B4:I25,MATCH(19,K4:K25,0),7)</f>
        <v>39148.718687500004</v>
      </c>
    </row>
    <row r="23" spans="1:13" x14ac:dyDescent="0.25">
      <c r="A23" s="9">
        <v>20</v>
      </c>
      <c r="B23" s="2" t="s">
        <v>88</v>
      </c>
      <c r="C23" s="1">
        <f>SUM(P.25!L48)</f>
        <v>18791.869565217392</v>
      </c>
      <c r="D23" s="1">
        <f>SUM(P.25!M48)</f>
        <v>17502.547500000001</v>
      </c>
      <c r="E23" s="1">
        <f>SUM(P.25!N48)</f>
        <v>15372.428285714286</v>
      </c>
      <c r="F23" s="1">
        <f>SUMIF(P.25!O48,"&gt;1",(P.25!O48))</f>
        <v>31909.594375000001</v>
      </c>
      <c r="G23" s="1">
        <f>SUM(P.25!P48)</f>
        <v>33514.66118644068</v>
      </c>
      <c r="H23" s="296">
        <f>SUM(P.25!Q48)</f>
        <v>34685.678709677421</v>
      </c>
      <c r="I23" s="1">
        <f>SUM(P.25!R48)</f>
        <v>19352.941176470587</v>
      </c>
      <c r="J23" s="2">
        <v>1821</v>
      </c>
      <c r="K23" s="9">
        <f>RANK(H23,$H$4:$H$25,1)+COUNTIF($H$4:H23,H23)-1</f>
        <v>16</v>
      </c>
      <c r="L23" s="2" t="str">
        <f>INDEX(B4:I25,MATCH(20,K4:K25,0),1)</f>
        <v>Przemyśl</v>
      </c>
      <c r="M23" s="1">
        <f>INDEX(B4:I25,MATCH(20,K4:K25,0),7)</f>
        <v>44715.425000000003</v>
      </c>
    </row>
    <row r="24" spans="1:13" x14ac:dyDescent="0.25">
      <c r="A24" s="299">
        <v>21</v>
      </c>
      <c r="B24" s="298" t="s">
        <v>91</v>
      </c>
      <c r="C24" s="95">
        <f>SUM(P.25!L49)</f>
        <v>20774.599173553717</v>
      </c>
      <c r="D24" s="95">
        <f>SUM(P.25!M49)</f>
        <v>15984.357894736842</v>
      </c>
      <c r="E24" s="95">
        <f>SUM(P.25!N49)</f>
        <v>15361.943445692883</v>
      </c>
      <c r="F24" s="95">
        <f>SUMIF(P.25!O49,"&gt;1",(P.25!O49))</f>
        <v>28646.019558823529</v>
      </c>
      <c r="G24" s="95">
        <f>SUM(P.25!P49)</f>
        <v>30128.816223776223</v>
      </c>
      <c r="H24" s="297">
        <f>SUM(P.25!Q49)</f>
        <v>44715.425000000003</v>
      </c>
      <c r="I24" s="95">
        <f>SUM(P.25!R49)</f>
        <v>11547.169811320755</v>
      </c>
      <c r="J24" s="298" t="s">
        <v>135</v>
      </c>
      <c r="K24" s="9">
        <f>RANK(H24,$H$4:$H$25,1)+COUNTIF($H$4:H24,H24)-1</f>
        <v>20</v>
      </c>
      <c r="L24" s="2" t="str">
        <f>INDEX(B4:I25,MATCH(21,K4:K25,0),1)</f>
        <v>Brzozów</v>
      </c>
      <c r="M24" s="1">
        <f>INDEX(B4:I25,MATCH(21,K4:K25,0),7)</f>
        <v>49516.699574468083</v>
      </c>
    </row>
    <row r="25" spans="1:13" x14ac:dyDescent="0.25">
      <c r="A25" s="9">
        <v>22</v>
      </c>
      <c r="B25" s="11" t="s">
        <v>94</v>
      </c>
      <c r="C25" s="1">
        <f>SUM(P.25!L50)</f>
        <v>18392.965695890409</v>
      </c>
      <c r="D25" s="1">
        <f>SUM(P.25!M50)</f>
        <v>10098.81053030303</v>
      </c>
      <c r="E25" s="1">
        <f>SUM(P.25!N50)</f>
        <v>12347.160524385772</v>
      </c>
      <c r="F25" s="1">
        <f>SUMIF(P.25!O50,"&gt;1",(P.25!O50))</f>
        <v>22106.118038490007</v>
      </c>
      <c r="G25" s="1">
        <f>SUM(P.25!P50)</f>
        <v>34538.310051078319</v>
      </c>
      <c r="H25" s="296">
        <f>SUM(P.25!Q50)</f>
        <v>30333.703615857823</v>
      </c>
      <c r="I25" s="1">
        <f>SUM(P.25!R50)</f>
        <v>12881.823491204332</v>
      </c>
      <c r="J25" s="2">
        <v>1800</v>
      </c>
      <c r="K25" s="9">
        <f>RANK(H25,$H$4:$H$25,1)+COUNTIF($H$4:H25,H25)-1</f>
        <v>11</v>
      </c>
      <c r="L25" s="2" t="str">
        <f>INDEX(B4:I25,MATCH(22,K4:K25,0),1)</f>
        <v>Przeworsk</v>
      </c>
      <c r="M25" s="1">
        <f>INDEX(B4:I25,MATCH(22,K4:K25,0),7)</f>
        <v>52122.054857142852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</row>
    <row r="28" spans="1:13" x14ac:dyDescent="0.25">
      <c r="A28" s="9">
        <v>2</v>
      </c>
      <c r="B28" s="10" t="s">
        <v>2</v>
      </c>
      <c r="C28" s="8" t="s">
        <v>143</v>
      </c>
    </row>
    <row r="29" spans="1:13" x14ac:dyDescent="0.25">
      <c r="A29" s="9">
        <v>3</v>
      </c>
      <c r="B29" s="10" t="s">
        <v>3</v>
      </c>
      <c r="C29" s="8" t="s">
        <v>143</v>
      </c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294">
        <v>6</v>
      </c>
      <c r="B32" s="295" t="s">
        <v>17</v>
      </c>
      <c r="C32" s="8" t="s">
        <v>143</v>
      </c>
    </row>
    <row r="33" spans="1:12" x14ac:dyDescent="0.25">
      <c r="A33" s="9">
        <v>7</v>
      </c>
      <c r="B33" s="10" t="s">
        <v>11</v>
      </c>
      <c r="C33" s="8" t="s">
        <v>143</v>
      </c>
      <c r="J33" s="8"/>
      <c r="K33" s="8"/>
      <c r="L33" s="8"/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C19F7-D85F-4CC0-97E8-6D8FB78008A6}">
  <sheetPr>
    <tabColor theme="0"/>
  </sheetPr>
  <dimension ref="A1:M33"/>
  <sheetViews>
    <sheetView zoomScale="80" zoomScaleNormal="80" workbookViewId="0">
      <selection activeCell="C1" sqref="C1"/>
    </sheetView>
  </sheetViews>
  <sheetFormatPr defaultRowHeight="15" x14ac:dyDescent="0.25"/>
  <cols>
    <col min="1" max="1" width="5.140625" style="8" customWidth="1"/>
    <col min="2" max="2" width="14.28515625" style="8" customWidth="1"/>
    <col min="3" max="3" width="14.7109375" style="8" customWidth="1"/>
    <col min="4" max="4" width="13.28515625" style="8" customWidth="1"/>
    <col min="5" max="5" width="12.5703125" style="8" customWidth="1"/>
    <col min="6" max="6" width="13.28515625" style="8" customWidth="1"/>
    <col min="7" max="9" width="13" style="8" customWidth="1"/>
    <col min="10" max="10" width="11" style="5" customWidth="1"/>
    <col min="11" max="11" width="14.140625" style="5" customWidth="1"/>
    <col min="12" max="12" width="14.42578125" style="5" customWidth="1"/>
    <col min="13" max="13" width="14.85546875" style="8" customWidth="1"/>
    <col min="14" max="16384" width="9.140625" style="8"/>
  </cols>
  <sheetData>
    <row r="1" spans="1:13" x14ac:dyDescent="0.25">
      <c r="A1" s="8" t="s">
        <v>275</v>
      </c>
      <c r="B1" s="471">
        <v>2025</v>
      </c>
    </row>
    <row r="2" spans="1:13" x14ac:dyDescent="0.25">
      <c r="A2" s="8" t="s">
        <v>299</v>
      </c>
    </row>
    <row r="3" spans="1:13" x14ac:dyDescent="0.25">
      <c r="A3" s="294">
        <f>SUM(P.!K26)</f>
        <v>0</v>
      </c>
      <c r="B3" s="295" t="s">
        <v>95</v>
      </c>
      <c r="C3" s="294" t="s">
        <v>127</v>
      </c>
      <c r="D3" s="294" t="s">
        <v>126</v>
      </c>
      <c r="E3" s="294" t="s">
        <v>140</v>
      </c>
      <c r="F3" s="294" t="s">
        <v>130</v>
      </c>
      <c r="G3" s="294" t="s">
        <v>141</v>
      </c>
      <c r="H3" s="294" t="s">
        <v>139</v>
      </c>
      <c r="I3" s="294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1">
        <f>SUM(P.25!L27)</f>
        <v>17215.242705882352</v>
      </c>
      <c r="D4" s="1">
        <f>SUM(P.25!M27)</f>
        <v>20668.188571428571</v>
      </c>
      <c r="E4" s="1">
        <f>SUM(P.25!N27)</f>
        <v>18468.831372549019</v>
      </c>
      <c r="F4" s="1">
        <f>SUMIF(P.25!O27,"&gt;1",(P.25!O27))</f>
        <v>32760.230833333335</v>
      </c>
      <c r="G4" s="1">
        <f>SUMIF(P.25!P27,"&gt;1",(P.25!P27))</f>
        <v>30990.075000000001</v>
      </c>
      <c r="H4" s="1">
        <f>SUMIF(P.25!Q27,"&gt;1",(P.25!Q27))</f>
        <v>8284.1247368421045</v>
      </c>
      <c r="I4" s="296">
        <f>SUMIF(P.25!R27,"&gt;1",(P.25!R27))</f>
        <v>12025</v>
      </c>
      <c r="J4" s="2">
        <v>1801</v>
      </c>
      <c r="K4" s="557">
        <f>RANK(I4,$I$4:$I$25,1)+COUNTIF($I$4:I4,I4)-1</f>
        <v>14</v>
      </c>
      <c r="L4" s="2" t="str">
        <f>INDEX(B4:I25,MATCH(1,K4:K25,0),1)</f>
        <v>Kolbuszowa</v>
      </c>
      <c r="M4" s="1">
        <f>INDEX(B4:I25,MATCH(1,K4:K25,0),8)</f>
        <v>0</v>
      </c>
    </row>
    <row r="5" spans="1:13" x14ac:dyDescent="0.25">
      <c r="A5" s="9">
        <v>2</v>
      </c>
      <c r="B5" s="2" t="s">
        <v>70</v>
      </c>
      <c r="C5" s="1">
        <f>SUM(P.25!L28)</f>
        <v>19766.191826923077</v>
      </c>
      <c r="D5" s="1">
        <f>SUM(P.25!M28)</f>
        <v>9153.7711764705873</v>
      </c>
      <c r="E5" s="1">
        <f>SUM(P.25!N28)</f>
        <v>9294.6093382352956</v>
      </c>
      <c r="F5" s="1">
        <f>SUMIF(P.25!O28,"&gt;1",(P.25!O28))</f>
        <v>21926.968000000001</v>
      </c>
      <c r="G5" s="1">
        <f>SUM(P.25!P28)</f>
        <v>33882.403969465646</v>
      </c>
      <c r="H5" s="1">
        <f>SUM(P.25!Q28)</f>
        <v>49516.699574468083</v>
      </c>
      <c r="I5" s="296">
        <f>SUM(P.25!R28)</f>
        <v>17660.377358490565</v>
      </c>
      <c r="J5" s="2">
        <v>1802</v>
      </c>
      <c r="K5" s="558">
        <f>RANK(I5,$I$4:$I$25,1)+COUNTIF($I$4:I5,I5)-1</f>
        <v>20</v>
      </c>
      <c r="L5" s="11" t="str">
        <f>INDEX(B4:I25,MATCH(2,K4:K25,0),1)</f>
        <v>Stalowa Wola</v>
      </c>
      <c r="M5" s="1">
        <f>INDEX(B4:I25,MATCH(2,K4:K25,0),8)</f>
        <v>5166.666666666667</v>
      </c>
    </row>
    <row r="6" spans="1:13" x14ac:dyDescent="0.25">
      <c r="A6" s="9">
        <v>3</v>
      </c>
      <c r="B6" s="2" t="s">
        <v>71</v>
      </c>
      <c r="C6" s="1">
        <f>SUM(P.25!L29)</f>
        <v>24909.382870370373</v>
      </c>
      <c r="D6" s="1">
        <f>SUM(P.25!M29)</f>
        <v>7253.38</v>
      </c>
      <c r="E6" s="1">
        <f>SUM(P.25!N29)</f>
        <v>9652.3577173913054</v>
      </c>
      <c r="F6" s="1">
        <f>SUMIF(P.25!O29,"&gt;1",(P.25!O29))</f>
        <v>11656.7925</v>
      </c>
      <c r="G6" s="1">
        <f>SUM(P.25!P29)</f>
        <v>24340.21305882353</v>
      </c>
      <c r="H6" s="1">
        <f>SUM(P.25!Q29)</f>
        <v>34076.923076923078</v>
      </c>
      <c r="I6" s="296">
        <f>SUM(P.25!R29)</f>
        <v>8275.8620689655181</v>
      </c>
      <c r="J6" s="2">
        <v>1803</v>
      </c>
      <c r="K6" s="558">
        <f>RANK(I6,$I$4:$I$25,1)+COUNTIF($I$4:I6,I6)-1</f>
        <v>5</v>
      </c>
      <c r="L6" s="11" t="str">
        <f>INDEX(B4:I25,MATCH(3,K4:K25,0),1)</f>
        <v>Nisko</v>
      </c>
      <c r="M6" s="1">
        <f>INDEX(B4:I25,MATCH(3,K4:K25,0),8)</f>
        <v>5454.545454545455</v>
      </c>
    </row>
    <row r="7" spans="1:13" x14ac:dyDescent="0.25">
      <c r="A7" s="9">
        <v>4</v>
      </c>
      <c r="B7" s="2" t="s">
        <v>72</v>
      </c>
      <c r="C7" s="1">
        <f>SUM(P.25!L30)</f>
        <v>16915.526422413794</v>
      </c>
      <c r="D7" s="1">
        <f>SUM(P.25!M30)</f>
        <v>13146.98625</v>
      </c>
      <c r="E7" s="1">
        <f>SUM(P.25!N30)</f>
        <v>7179.6699200000003</v>
      </c>
      <c r="F7" s="1">
        <f>SUMIF(P.25!O30,"&gt;1",(P.25!O30))</f>
        <v>25593.756434782612</v>
      </c>
      <c r="G7" s="1">
        <f>SUM(P.25!P30)</f>
        <v>25844.193548387098</v>
      </c>
      <c r="H7" s="1">
        <f>SUM(P.25!Q30)</f>
        <v>18706.133739837402</v>
      </c>
      <c r="I7" s="296">
        <f>SUM(P.25!R30)</f>
        <v>40426.620000000003</v>
      </c>
      <c r="J7" s="2">
        <v>1804</v>
      </c>
      <c r="K7" s="558">
        <f>RANK(I7,$I$4:$I$25,1)+COUNTIF($I$4:I7,I7)-1</f>
        <v>22</v>
      </c>
      <c r="L7" s="11" t="str">
        <f>INDEX(B4:I25,MATCH(4,K4:K25,0),1)</f>
        <v>Ropczyce</v>
      </c>
      <c r="M7" s="1">
        <f>INDEX(B4:I25,MATCH(4,K4:K25,0),8)</f>
        <v>6666.666666666667</v>
      </c>
    </row>
    <row r="8" spans="1:13" x14ac:dyDescent="0.25">
      <c r="A8" s="9">
        <v>5</v>
      </c>
      <c r="B8" s="2" t="s">
        <v>73</v>
      </c>
      <c r="C8" s="1">
        <f>SUM(P.25!L31)</f>
        <v>19743.800962566846</v>
      </c>
      <c r="D8" s="1">
        <f>SUM(P.25!M31)</f>
        <v>17613.050666666666</v>
      </c>
      <c r="E8" s="1">
        <f>SUM(P.25!N31)</f>
        <v>9960.3185333333331</v>
      </c>
      <c r="F8" s="1">
        <f>SUMIF(P.25!O31,"&gt;1",(P.25!O31))</f>
        <v>21041.448360655741</v>
      </c>
      <c r="G8" s="1">
        <f>SUM(P.25!P31)</f>
        <v>36474.390471698112</v>
      </c>
      <c r="H8" s="1">
        <f>SUM(P.25!Q31)</f>
        <v>39148.718687500004</v>
      </c>
      <c r="I8" s="296">
        <f>SUM(P.25!R31)</f>
        <v>16238.344054054054</v>
      </c>
      <c r="J8" s="2">
        <v>1805</v>
      </c>
      <c r="K8" s="558">
        <f>RANK(I8,$I$4:$I$25,1)+COUNTIF($I$4:I8,I8)-1</f>
        <v>19</v>
      </c>
      <c r="L8" s="11" t="str">
        <f>INDEX(B4:I25,MATCH(5,K4:K25,0),1)</f>
        <v>Dębica</v>
      </c>
      <c r="M8" s="1">
        <f>INDEX(B4:I25,MATCH(5,K4:K25,0),8)</f>
        <v>8275.8620689655181</v>
      </c>
    </row>
    <row r="9" spans="1:13" x14ac:dyDescent="0.25">
      <c r="A9" s="9">
        <v>6</v>
      </c>
      <c r="B9" s="2" t="s">
        <v>74</v>
      </c>
      <c r="C9" s="1">
        <f>SUM(P.25!L32)</f>
        <v>21030.050721649484</v>
      </c>
      <c r="D9" s="1">
        <f>SUM(P.25!M32)</f>
        <v>17478.610999999997</v>
      </c>
      <c r="E9" s="1">
        <f>SUM(P.25!N32)</f>
        <v>9612.0897777777773</v>
      </c>
      <c r="F9" s="1">
        <f>SUMIF(P.25!O32,"&gt;1",(P.25!O32))</f>
        <v>26057.456249999999</v>
      </c>
      <c r="G9" s="1">
        <f>SUM(P.25!P32)</f>
        <v>58452.892368421053</v>
      </c>
      <c r="H9" s="1">
        <f>SUM(P.25!Q32)</f>
        <v>19882.358285714286</v>
      </c>
      <c r="I9" s="562">
        <f>SUMIF(P.25!R32,"&gt;1",(P.25!R32))</f>
        <v>0</v>
      </c>
      <c r="J9" s="2">
        <v>1806</v>
      </c>
      <c r="K9" s="558">
        <f>RANK(I9,$I$4:$I$25,1)+COUNTIF($I$4:I9,I9)-1</f>
        <v>1</v>
      </c>
      <c r="L9" s="11" t="str">
        <f>INDEX(B4:I25,MATCH(6,K4:K25,0),1)</f>
        <v>Tarnobrzeg</v>
      </c>
      <c r="M9" s="1">
        <f>INDEX(B4:I25,MATCH(6,K4:K25,0),8)</f>
        <v>9894.7368421052633</v>
      </c>
    </row>
    <row r="10" spans="1:13" x14ac:dyDescent="0.25">
      <c r="A10" s="299">
        <v>7</v>
      </c>
      <c r="B10" s="298" t="s">
        <v>75</v>
      </c>
      <c r="C10" s="95">
        <f>SUM(P.25!L33)</f>
        <v>16338.483195266273</v>
      </c>
      <c r="D10" s="95">
        <f>SUM(P.25!M33)</f>
        <v>13560.481428571427</v>
      </c>
      <c r="E10" s="95">
        <f>SUM(P.25!N33)</f>
        <v>10450.554743589744</v>
      </c>
      <c r="F10" s="95">
        <f>SUMIF(P.25!O33,"&gt;1",(P.25!O33))</f>
        <v>14616.336666666668</v>
      </c>
      <c r="G10" s="95">
        <f>SUM(P.25!P33)</f>
        <v>36613.509012345676</v>
      </c>
      <c r="H10" s="297">
        <f>SUM(P.25!Q33)</f>
        <v>33816.54367088608</v>
      </c>
      <c r="I10" s="297">
        <f>SUM(P.25!R33)</f>
        <v>9939.3939393939399</v>
      </c>
      <c r="J10" s="298" t="s">
        <v>134</v>
      </c>
      <c r="K10" s="558">
        <f>RANK(I10,$I$4:$I$25,1)+COUNTIF($I$4:I10,I10)-1</f>
        <v>7</v>
      </c>
      <c r="L10" s="11" t="str">
        <f>INDEX(B4:I25,MATCH(7,K4:K25,0),1)</f>
        <v>Krosno</v>
      </c>
      <c r="M10" s="1">
        <f>INDEX(B4:I25,MATCH(7,K4:K25,0),8)</f>
        <v>9939.3939393939399</v>
      </c>
    </row>
    <row r="11" spans="1:13" x14ac:dyDescent="0.25">
      <c r="A11" s="9">
        <v>8</v>
      </c>
      <c r="B11" s="2" t="s">
        <v>76</v>
      </c>
      <c r="C11" s="1">
        <f>SUM(P.25!L35)</f>
        <v>17831.99090909091</v>
      </c>
      <c r="D11" s="1">
        <f>SUM(P.25!M35)</f>
        <v>25349.94875</v>
      </c>
      <c r="E11" s="1">
        <f>SUM(P.25!N35)</f>
        <v>9857.1518309859166</v>
      </c>
      <c r="F11" s="1">
        <f>SUMIF(P.25!O35,"&gt;1",(P.25!O35))</f>
        <v>12182.592554744526</v>
      </c>
      <c r="G11" s="1">
        <f>SUM(P.25!P35)</f>
        <v>33798.138983050849</v>
      </c>
      <c r="H11" s="1">
        <f>SUM(P.25!Q35)</f>
        <v>15035.338666666667</v>
      </c>
      <c r="I11" s="296">
        <f>SUM(P.25!R35)</f>
        <v>10476.190476190477</v>
      </c>
      <c r="J11" s="2">
        <v>1808</v>
      </c>
      <c r="K11" s="558">
        <f>RANK(I11,$I$4:$I$25,1)+COUNTIF($I$4:I11,I11)-1</f>
        <v>10</v>
      </c>
      <c r="L11" s="11" t="str">
        <f>INDEX(B4:I25,MATCH(8,K4:K25,0),1)</f>
        <v>Rzeszów</v>
      </c>
      <c r="M11" s="1">
        <f>INDEX(B4:I25,MATCH(8,K4:K25,0),8)</f>
        <v>10086.384929577463</v>
      </c>
    </row>
    <row r="12" spans="1:13" x14ac:dyDescent="0.25">
      <c r="A12" s="9">
        <v>9</v>
      </c>
      <c r="B12" s="2" t="s">
        <v>77</v>
      </c>
      <c r="C12" s="1">
        <f>SUM(P.25!L36)</f>
        <v>14347.0075</v>
      </c>
      <c r="D12" s="1">
        <f>SUM(P.25!M36)</f>
        <v>9785.2900000000009</v>
      </c>
      <c r="E12" s="1">
        <f>SUM(P.25!N36)</f>
        <v>11910.110540540541</v>
      </c>
      <c r="F12" s="1">
        <f>SUMIF(P.25!O36,"&gt;1",(P.25!O36))</f>
        <v>22177.651249999999</v>
      </c>
      <c r="G12" s="1">
        <f>SUM(P.25!P36)</f>
        <v>27639.703703703704</v>
      </c>
      <c r="H12" s="296">
        <f>SUMIF(P.25!Q36,"&gt;1",(P.25!Q36))</f>
        <v>0</v>
      </c>
      <c r="I12" s="296">
        <f>SUMIF(P.25!R36,"&gt;1",(P.25!R36))</f>
        <v>10320.76923076923</v>
      </c>
      <c r="J12" s="2">
        <v>1809</v>
      </c>
      <c r="K12" s="558">
        <f>RANK(I12,$I$4:$I$25,1)+COUNTIF($I$4:I12,I12)-1</f>
        <v>9</v>
      </c>
      <c r="L12" s="11" t="str">
        <f>INDEX(B4:I25,MATCH(9,K4:K25,0),1)</f>
        <v>Lubaczów</v>
      </c>
      <c r="M12" s="1">
        <f>INDEX(B4:I25,MATCH(9,K4:K25,0),8)</f>
        <v>10320.76923076923</v>
      </c>
    </row>
    <row r="13" spans="1:13" x14ac:dyDescent="0.25">
      <c r="A13" s="9">
        <v>10</v>
      </c>
      <c r="B13" s="2" t="s">
        <v>78</v>
      </c>
      <c r="C13" s="1">
        <f>SUM(P.25!L37)</f>
        <v>21100.202897196261</v>
      </c>
      <c r="D13" s="1">
        <f>SUM(P.25!M37)</f>
        <v>6174.4281250000004</v>
      </c>
      <c r="E13" s="1">
        <f>SUM(P.25!N37)</f>
        <v>14383.268333333333</v>
      </c>
      <c r="F13" s="1">
        <f>SUMIF(P.25!O37,"&gt;1",(P.25!O37))</f>
        <v>19806.177179487182</v>
      </c>
      <c r="G13" s="1">
        <f>SUM(P.25!P37)</f>
        <v>30002.293043478257</v>
      </c>
      <c r="H13" s="1">
        <f>SUM(P.25!Q37)</f>
        <v>35444.152033898303</v>
      </c>
      <c r="I13" s="296">
        <f>SUM(P.25!R37)</f>
        <v>11956.521739130434</v>
      </c>
      <c r="J13" s="2">
        <v>1810</v>
      </c>
      <c r="K13" s="558">
        <f>RANK(I13,$I$4:$I$25,1)+COUNTIF($I$4:I13,I13)-1</f>
        <v>13</v>
      </c>
      <c r="L13" s="11" t="str">
        <f>INDEX(B4:I25,MATCH(10,K4:K25,0),1)</f>
        <v>Leżajsk</v>
      </c>
      <c r="M13" s="1">
        <f>INDEX(B4:I25,MATCH(10,K4:K25,0),8)</f>
        <v>10476.190476190477</v>
      </c>
    </row>
    <row r="14" spans="1:13" x14ac:dyDescent="0.25">
      <c r="A14" s="9">
        <v>11</v>
      </c>
      <c r="B14" s="2" t="s">
        <v>79</v>
      </c>
      <c r="C14" s="1">
        <f>SUM(P.25!L38)</f>
        <v>17626.840360824743</v>
      </c>
      <c r="D14" s="1">
        <f>SUM(P.25!M38)</f>
        <v>11511.252500000001</v>
      </c>
      <c r="E14" s="1">
        <f>SUM(P.25!N38)</f>
        <v>11450.537990196079</v>
      </c>
      <c r="F14" s="1">
        <f>SUMIF(P.25!O38,"&gt;1",(P.25!O38))</f>
        <v>11067.973333333333</v>
      </c>
      <c r="G14" s="1">
        <f>SUM(P.25!P38)</f>
        <v>32977.792535211265</v>
      </c>
      <c r="H14" s="1">
        <f>SUM(P.25!Q38)</f>
        <v>32376.172500000004</v>
      </c>
      <c r="I14" s="296">
        <f>SUM(P.25!R38)</f>
        <v>14000</v>
      </c>
      <c r="J14" s="2">
        <v>1811</v>
      </c>
      <c r="K14" s="559">
        <f>RANK(I14,$I$4:$I$25,1)+COUNTIF($I$4:I14,I14)-1</f>
        <v>16</v>
      </c>
      <c r="L14" s="11" t="str">
        <f>INDEX(B4:I25,MATCH(11,K4:K25,0),1)</f>
        <v>Przemyśl</v>
      </c>
      <c r="M14" s="1">
        <f>INDEX(B4:I25,MATCH(11,K4:K25,0),8)</f>
        <v>11547.169811320755</v>
      </c>
    </row>
    <row r="15" spans="1:13" x14ac:dyDescent="0.25">
      <c r="A15" s="9">
        <v>12</v>
      </c>
      <c r="B15" s="2" t="s">
        <v>80</v>
      </c>
      <c r="C15" s="1">
        <f>SUM(P.25!L39)</f>
        <v>22950.568740740739</v>
      </c>
      <c r="D15" s="1">
        <f>SUM(P.25!M39)</f>
        <v>20913.46125</v>
      </c>
      <c r="E15" s="1">
        <f>SUM(P.25!N39)</f>
        <v>11318.09407079646</v>
      </c>
      <c r="F15" s="1">
        <f>SUMIF(P.25!O39,"&gt;1",(P.25!O39))</f>
        <v>22862.37</v>
      </c>
      <c r="G15" s="1">
        <f>SUM(P.25!P39)</f>
        <v>60783.114035087718</v>
      </c>
      <c r="H15" s="1">
        <f>SUM(P.25!Q39)</f>
        <v>20980.357142857141</v>
      </c>
      <c r="I15" s="296">
        <f>SUM(P.25!R39)</f>
        <v>5454.545454545455</v>
      </c>
      <c r="J15" s="2">
        <v>1812</v>
      </c>
      <c r="K15" s="558">
        <f>RANK(I15,$I$4:$I$25,1)+COUNTIF($I$4:I15,I15)-1</f>
        <v>3</v>
      </c>
      <c r="L15" s="11" t="str">
        <f>INDEX(B4:I25,MATCH(12,K4:K25,0),1)</f>
        <v>Przeworsk</v>
      </c>
      <c r="M15" s="1">
        <f>INDEX(B4:I25,MATCH(12,K4:K25,0),8)</f>
        <v>11666.666666666666</v>
      </c>
    </row>
    <row r="16" spans="1:13" x14ac:dyDescent="0.25">
      <c r="A16" s="9">
        <v>13</v>
      </c>
      <c r="B16" s="2" t="s">
        <v>81</v>
      </c>
      <c r="C16" s="1">
        <f>SUM(P.25!L40)</f>
        <v>23368.433911290325</v>
      </c>
      <c r="D16" s="1">
        <f>SUM(P.25!M40)</f>
        <v>9671.8372972972975</v>
      </c>
      <c r="E16" s="1">
        <f>SUM(P.25!N40)</f>
        <v>18597.644124999999</v>
      </c>
      <c r="F16" s="1">
        <f>SUMIF(P.25!O40,"&gt;1",(P.25!O40))</f>
        <v>24405.43619047619</v>
      </c>
      <c r="G16" s="1">
        <f>SUM(P.25!P40)</f>
        <v>31429.579649122807</v>
      </c>
      <c r="H16" s="1">
        <f>SUM(P.25!Q40)</f>
        <v>52122.054857142852</v>
      </c>
      <c r="I16" s="296">
        <f>SUM(P.25!R40)</f>
        <v>11666.666666666666</v>
      </c>
      <c r="J16" s="2">
        <v>1814</v>
      </c>
      <c r="K16" s="560">
        <f>RANK(I16,$I$4:$I$25,1)+COUNTIF($I$4:I16,I16)-1</f>
        <v>12</v>
      </c>
      <c r="L16" s="14" t="str">
        <f>INDEX(B4:I25,MATCH(13,K4:K25,0),1)</f>
        <v>Łańcut</v>
      </c>
      <c r="M16" s="1">
        <f>INDEX(B4:I25,MATCH(13,K4:K25,0),8)</f>
        <v>11956.521739130434</v>
      </c>
    </row>
    <row r="17" spans="1:13" x14ac:dyDescent="0.25">
      <c r="A17" s="9">
        <v>14</v>
      </c>
      <c r="B17" s="2" t="s">
        <v>82</v>
      </c>
      <c r="C17" s="1">
        <f>SUM(P.25!L41)</f>
        <v>18855.229770114944</v>
      </c>
      <c r="D17" s="1">
        <f>SUM(P.25!M41)</f>
        <v>15120.53</v>
      </c>
      <c r="E17" s="1">
        <f>SUM(P.25!N41)</f>
        <v>15478.092470588237</v>
      </c>
      <c r="F17" s="1">
        <f>SUMIF(P.25!O41,"&gt;1",(P.25!O41))</f>
        <v>25674.542000000001</v>
      </c>
      <c r="G17" s="1">
        <f>SUM(P.25!P41)</f>
        <v>32659.126718750002</v>
      </c>
      <c r="H17" s="1">
        <f>SUM(P.25!Q41)</f>
        <v>16189.324675324675</v>
      </c>
      <c r="I17" s="296">
        <f>SUM(P.25!R41)</f>
        <v>6666.666666666667</v>
      </c>
      <c r="J17" s="2">
        <v>1815</v>
      </c>
      <c r="K17" s="560">
        <f>RANK(I17,$I$4:$I$25,1)+COUNTIF($I$4:I17,I17)-1</f>
        <v>4</v>
      </c>
      <c r="L17" s="14" t="str">
        <f>INDEX(B4:I25,MATCH(14,K4:K25,0),1)</f>
        <v>Ustrzyki Dolne</v>
      </c>
      <c r="M17" s="1">
        <f>INDEX(B4:I25,MATCH(14,K4:K25,0),8)</f>
        <v>12025</v>
      </c>
    </row>
    <row r="18" spans="1:13" x14ac:dyDescent="0.25">
      <c r="A18" s="299">
        <v>15</v>
      </c>
      <c r="B18" s="298" t="s">
        <v>83</v>
      </c>
      <c r="C18" s="95">
        <f>SUM(P.25!L43)</f>
        <v>15376.536067796609</v>
      </c>
      <c r="D18" s="95">
        <f>SUM(P.25!M43)</f>
        <v>5083.8857307692306</v>
      </c>
      <c r="E18" s="95">
        <f>SUM(P.25!N43)</f>
        <v>11100.79969924812</v>
      </c>
      <c r="F18" s="95">
        <f>SUMIF(P.25!O43,"&gt;1",(P.25!O43))</f>
        <v>19239.378834951458</v>
      </c>
      <c r="G18" s="95">
        <f>SUM(P.25!P43)</f>
        <v>37121.876798780489</v>
      </c>
      <c r="H18" s="95">
        <f>SUM(P.25!Q43)</f>
        <v>38719.998815165876</v>
      </c>
      <c r="I18" s="297">
        <f>SUM(P.25!R43)</f>
        <v>10086.384929577463</v>
      </c>
      <c r="J18" s="298" t="s">
        <v>136</v>
      </c>
      <c r="K18" s="558">
        <f>RANK(I18,$I$4:$I$25,1)+COUNTIF($I$4:I18,I18)-1</f>
        <v>8</v>
      </c>
      <c r="L18" s="561" t="str">
        <f>INDEX(B4:I25,MATCH(15,K4:K25,0),1)</f>
        <v>Podkarpacie</v>
      </c>
      <c r="M18" s="296">
        <f>INDEX(B4:I25,MATCH(15,K4:K25,0),8)</f>
        <v>12881.823491204332</v>
      </c>
    </row>
    <row r="19" spans="1:13" x14ac:dyDescent="0.25">
      <c r="A19" s="9">
        <v>16</v>
      </c>
      <c r="B19" s="2" t="s">
        <v>84</v>
      </c>
      <c r="C19" s="1">
        <f>SUM(P.25!L44)</f>
        <v>21536.895444444446</v>
      </c>
      <c r="D19" s="1">
        <f>SUM(P.25!M44)</f>
        <v>10350.701666666666</v>
      </c>
      <c r="E19" s="1">
        <f>SUM(P.25!N44)</f>
        <v>11760.912112676056</v>
      </c>
      <c r="F19" s="1">
        <f>SUMIF(P.25!O44,"&gt;1",(P.25!O44))</f>
        <v>16076.913125000001</v>
      </c>
      <c r="G19" s="1">
        <f>SUM(P.25!P44)</f>
        <v>38178.404579439251</v>
      </c>
      <c r="H19" s="1">
        <f>SUM(P.25!Q44)</f>
        <v>16894.621830985914</v>
      </c>
      <c r="I19" s="296">
        <f>SUM(P.25!R44)</f>
        <v>14582.35294117647</v>
      </c>
      <c r="J19" s="2">
        <v>1817</v>
      </c>
      <c r="K19" s="558">
        <f>RANK(I19,$I$4:$I$25,1)+COUNTIF($I$4:I19,I19)-1</f>
        <v>17</v>
      </c>
      <c r="L19" s="2" t="str">
        <f>INDEX(B4:I25,MATCH(16,K4:K25,0),1)</f>
        <v>Mielec</v>
      </c>
      <c r="M19" s="1">
        <f>INDEX(B4:I25,MATCH(16,K4:K25,0),8)</f>
        <v>14000</v>
      </c>
    </row>
    <row r="20" spans="1:13" x14ac:dyDescent="0.25">
      <c r="A20" s="9">
        <v>17</v>
      </c>
      <c r="B20" s="2" t="s">
        <v>85</v>
      </c>
      <c r="C20" s="1">
        <f>SUM(P.25!L45)</f>
        <v>17818.265393939393</v>
      </c>
      <c r="D20" s="1">
        <f>SUM(P.25!M45)</f>
        <v>12213.680476190479</v>
      </c>
      <c r="E20" s="1">
        <f>SUM(P.25!N45)</f>
        <v>12231.750729166668</v>
      </c>
      <c r="F20" s="1">
        <f>SUMIF(P.25!O45,"&gt;1",(P.25!O45))</f>
        <v>23889.046818181818</v>
      </c>
      <c r="G20" s="1">
        <f>SUM(P.25!P45)</f>
        <v>33058.030508474578</v>
      </c>
      <c r="H20" s="1">
        <f>SUM(P.25!Q45)</f>
        <v>18819.021555555555</v>
      </c>
      <c r="I20" s="296">
        <f>SUM(P.25!R45)</f>
        <v>5166.666666666667</v>
      </c>
      <c r="J20" s="2">
        <v>1818</v>
      </c>
      <c r="K20" s="558">
        <f>RANK(I20,$I$4:$I$25,1)+COUNTIF($I$4:I20,I20)-1</f>
        <v>2</v>
      </c>
      <c r="L20" s="2" t="str">
        <f>INDEX(B4:I25,MATCH(17,K4:K25,0),1)</f>
        <v>Sanok</v>
      </c>
      <c r="M20" s="1">
        <f>INDEX(B4:I25,MATCH(17,K4:K25,0),8)</f>
        <v>14582.35294117647</v>
      </c>
    </row>
    <row r="21" spans="1:13" x14ac:dyDescent="0.25">
      <c r="A21" s="9">
        <v>18</v>
      </c>
      <c r="B21" s="2" t="s">
        <v>86</v>
      </c>
      <c r="C21" s="1">
        <f>SUM(P.25!L46)</f>
        <v>15305.461784232366</v>
      </c>
      <c r="D21" s="1">
        <f>SUM(P.25!M46)</f>
        <v>13517.788409090908</v>
      </c>
      <c r="E21" s="1">
        <f>SUM(P.25!N46)</f>
        <v>17291.258000000002</v>
      </c>
      <c r="F21" s="1">
        <f>SUMIF(P.25!O46,"&gt;1",(P.25!O46))</f>
        <v>26515.304434782607</v>
      </c>
      <c r="G21" s="1">
        <f>SUM(P.25!P46)</f>
        <v>35097.770833333336</v>
      </c>
      <c r="H21" s="1">
        <f>SUM(P.25!Q46)</f>
        <v>31518.684507042253</v>
      </c>
      <c r="I21" s="296">
        <f>SUM(P.25!R46)</f>
        <v>15750</v>
      </c>
      <c r="J21" s="2">
        <v>1819</v>
      </c>
      <c r="K21" s="558">
        <f>RANK(I21,$I$4:$I$25,1)+COUNTIF($I$4:I21,I21)-1</f>
        <v>18</v>
      </c>
      <c r="L21" s="2" t="str">
        <f>INDEX(B4:I25,MATCH(18,K4:K25,0),1)</f>
        <v>Strzyżów</v>
      </c>
      <c r="M21" s="1">
        <f>INDEX(B4:I25,MATCH(18,K4:K25,0),8)</f>
        <v>15750</v>
      </c>
    </row>
    <row r="22" spans="1:13" x14ac:dyDescent="0.25">
      <c r="A22" s="299">
        <v>19</v>
      </c>
      <c r="B22" s="298" t="s">
        <v>87</v>
      </c>
      <c r="C22" s="95">
        <f>SUM(P.25!L47)</f>
        <v>15039.525506329113</v>
      </c>
      <c r="D22" s="95">
        <f>SUM(P.25!M47)</f>
        <v>19238.223750000001</v>
      </c>
      <c r="E22" s="95">
        <f>SUM(P.25!N47)</f>
        <v>10424.767582417582</v>
      </c>
      <c r="F22" s="95">
        <f>SUMIF(P.25!O47,"&gt;1",(P.25!O47))</f>
        <v>21996.634620253164</v>
      </c>
      <c r="G22" s="95">
        <f>SUM(P.25!P47)</f>
        <v>24311.7</v>
      </c>
      <c r="H22" s="95">
        <f>SUM(P.25!Q47)</f>
        <v>27924.593214285713</v>
      </c>
      <c r="I22" s="297">
        <f>SUM(P.25!R47)</f>
        <v>9894.7368421052633</v>
      </c>
      <c r="J22" s="298" t="s">
        <v>137</v>
      </c>
      <c r="K22" s="558">
        <f>RANK(I22,$I$4:$I$25,1)+COUNTIF($I$4:I22,I22)-1</f>
        <v>6</v>
      </c>
      <c r="L22" s="2" t="str">
        <f>INDEX(B4:I25,MATCH(19,K4:K25,0),1)</f>
        <v>Jasło</v>
      </c>
      <c r="M22" s="1">
        <f>INDEX(B4:I25,MATCH(19,K4:K25,0),8)</f>
        <v>16238.344054054054</v>
      </c>
    </row>
    <row r="23" spans="1:13" x14ac:dyDescent="0.25">
      <c r="A23" s="9">
        <v>20</v>
      </c>
      <c r="B23" s="2" t="s">
        <v>88</v>
      </c>
      <c r="C23" s="1">
        <f>SUM(P.25!L48)</f>
        <v>18791.869565217392</v>
      </c>
      <c r="D23" s="1">
        <f>SUM(P.25!M48)</f>
        <v>17502.547500000001</v>
      </c>
      <c r="E23" s="1">
        <f>SUM(P.25!N48)</f>
        <v>15372.428285714286</v>
      </c>
      <c r="F23" s="1">
        <f>SUMIF(P.25!O48,"&gt;1",(P.25!O48))</f>
        <v>31909.594375000001</v>
      </c>
      <c r="G23" s="1">
        <f>SUM(P.25!P48)</f>
        <v>33514.66118644068</v>
      </c>
      <c r="H23" s="1">
        <f>SUM(P.25!Q48)</f>
        <v>34685.678709677421</v>
      </c>
      <c r="I23" s="296">
        <f>SUM(P.25!R48)</f>
        <v>19352.941176470587</v>
      </c>
      <c r="J23" s="2">
        <v>1821</v>
      </c>
      <c r="K23" s="558">
        <f>RANK(I23,$I$4:$I$25,1)+COUNTIF($I$4:I23,I23)-1</f>
        <v>21</v>
      </c>
      <c r="L23" s="2" t="str">
        <f>INDEX(B4:I25,MATCH(20,K4:K25,0),1)</f>
        <v>Brzozów</v>
      </c>
      <c r="M23" s="1">
        <f>INDEX(B4:I25,MATCH(20,K4:K25,0),8)</f>
        <v>17660.377358490565</v>
      </c>
    </row>
    <row r="24" spans="1:13" x14ac:dyDescent="0.25">
      <c r="A24" s="299">
        <v>21</v>
      </c>
      <c r="B24" s="298" t="s">
        <v>91</v>
      </c>
      <c r="C24" s="95">
        <f>SUM(P.25!L49)</f>
        <v>20774.599173553717</v>
      </c>
      <c r="D24" s="95">
        <f>SUM(P.25!M49)</f>
        <v>15984.357894736842</v>
      </c>
      <c r="E24" s="95">
        <f>SUM(P.25!N49)</f>
        <v>15361.943445692883</v>
      </c>
      <c r="F24" s="95">
        <f>SUMIF(P.25!O49,"&gt;1",(P.25!O49))</f>
        <v>28646.019558823529</v>
      </c>
      <c r="G24" s="95">
        <f>SUM(P.25!P49)</f>
        <v>30128.816223776223</v>
      </c>
      <c r="H24" s="95">
        <f>SUM(P.25!Q49)</f>
        <v>44715.425000000003</v>
      </c>
      <c r="I24" s="297">
        <f>SUM(P.25!R49)</f>
        <v>11547.169811320755</v>
      </c>
      <c r="J24" s="298" t="s">
        <v>135</v>
      </c>
      <c r="K24" s="558">
        <f>RANK(I24,$I$4:$I$25,1)+COUNTIF($I$4:I24,I24)-1</f>
        <v>11</v>
      </c>
      <c r="L24" s="2" t="str">
        <f>INDEX(B4:I25,MATCH(21,K4:K25,0),1)</f>
        <v>Lesko</v>
      </c>
      <c r="M24" s="1">
        <f>INDEX(B4:I25,MATCH(21,K4:K25,0),8)</f>
        <v>19352.941176470587</v>
      </c>
    </row>
    <row r="25" spans="1:13" x14ac:dyDescent="0.25">
      <c r="A25" s="9">
        <v>22</v>
      </c>
      <c r="B25" s="11" t="s">
        <v>94</v>
      </c>
      <c r="C25" s="1">
        <f>SUM(P.25!L50)</f>
        <v>18392.965695890409</v>
      </c>
      <c r="D25" s="1">
        <f>SUM(P.25!M50)</f>
        <v>10098.81053030303</v>
      </c>
      <c r="E25" s="1">
        <f>SUM(P.25!N50)</f>
        <v>12347.160524385772</v>
      </c>
      <c r="F25" s="1">
        <f>SUMIF(P.25!O50,"&gt;1",(P.25!O50))</f>
        <v>22106.118038490007</v>
      </c>
      <c r="G25" s="1">
        <f>SUM(P.25!P50)</f>
        <v>34538.310051078319</v>
      </c>
      <c r="H25" s="1">
        <f>SUM(P.25!Q50)</f>
        <v>30333.703615857823</v>
      </c>
      <c r="I25" s="296">
        <f>SUM(P.25!R50)</f>
        <v>12881.823491204332</v>
      </c>
      <c r="J25" s="2">
        <v>1800</v>
      </c>
      <c r="K25" s="558">
        <f>RANK(I25,$I$4:$I$25,1)+COUNTIF($I$4:I25,I25)-1</f>
        <v>15</v>
      </c>
      <c r="L25" s="2" t="str">
        <f>INDEX(B4:I25,MATCH(22,K4:K25,0),1)</f>
        <v>Jarosław</v>
      </c>
      <c r="M25" s="1">
        <f>INDEX(B4:I25,MATCH(22,K4:K25,0),8)</f>
        <v>40426.620000000003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</row>
    <row r="28" spans="1:13" x14ac:dyDescent="0.25">
      <c r="A28" s="9">
        <v>2</v>
      </c>
      <c r="B28" s="10" t="s">
        <v>2</v>
      </c>
      <c r="C28" s="8" t="s">
        <v>143</v>
      </c>
    </row>
    <row r="29" spans="1:13" x14ac:dyDescent="0.25">
      <c r="A29" s="9">
        <v>3</v>
      </c>
      <c r="B29" s="10" t="s">
        <v>3</v>
      </c>
      <c r="C29" s="8" t="s">
        <v>143</v>
      </c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12" x14ac:dyDescent="0.25">
      <c r="A33" s="294">
        <v>7</v>
      </c>
      <c r="B33" s="295" t="s">
        <v>11</v>
      </c>
      <c r="C33" s="8" t="s">
        <v>143</v>
      </c>
      <c r="J33" s="8"/>
      <c r="K33" s="8"/>
      <c r="L33" s="8"/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9495-487B-4D95-8A08-5BF6DD893E61}">
  <sheetPr>
    <tabColor rgb="FFCCECFF"/>
  </sheetPr>
  <dimension ref="B1:H42"/>
  <sheetViews>
    <sheetView zoomScale="80" zoomScaleNormal="80" workbookViewId="0">
      <selection activeCell="B1" sqref="B1"/>
    </sheetView>
  </sheetViews>
  <sheetFormatPr defaultRowHeight="14.25" x14ac:dyDescent="0.2"/>
  <cols>
    <col min="1" max="1" width="2" style="44" customWidth="1"/>
    <col min="2" max="2" width="81.28515625" style="44" customWidth="1"/>
    <col min="3" max="3" width="4.28515625" style="44" customWidth="1"/>
    <col min="4" max="5" width="23.28515625" style="44" customWidth="1"/>
    <col min="6" max="6" width="22.5703125" style="44" customWidth="1"/>
    <col min="7" max="7" width="19.5703125" style="44" customWidth="1"/>
    <col min="8" max="8" width="10.42578125" style="45" customWidth="1"/>
    <col min="9" max="9" width="13.140625" style="44" customWidth="1"/>
    <col min="10" max="16384" width="9.140625" style="44"/>
  </cols>
  <sheetData>
    <row r="1" spans="2:8" x14ac:dyDescent="0.2">
      <c r="B1" s="44" t="s">
        <v>482</v>
      </c>
      <c r="H1" s="44"/>
    </row>
    <row r="2" spans="2:8" ht="59.25" x14ac:dyDescent="0.2">
      <c r="B2" s="546" t="s">
        <v>21</v>
      </c>
      <c r="C2" s="546"/>
      <c r="D2" s="234" t="s">
        <v>481</v>
      </c>
      <c r="E2" s="546" t="s">
        <v>443</v>
      </c>
      <c r="F2" s="546" t="s">
        <v>444</v>
      </c>
      <c r="G2" s="546" t="s">
        <v>445</v>
      </c>
      <c r="H2" s="44"/>
    </row>
    <row r="3" spans="2:8" x14ac:dyDescent="0.2">
      <c r="B3" s="123">
        <v>0</v>
      </c>
      <c r="C3" s="123"/>
      <c r="D3" s="284">
        <v>1</v>
      </c>
      <c r="E3" s="123">
        <v>2</v>
      </c>
      <c r="F3" s="123">
        <v>3</v>
      </c>
      <c r="G3" s="123">
        <v>4</v>
      </c>
      <c r="H3" s="44"/>
    </row>
    <row r="4" spans="2:8" ht="14.25" customHeight="1" x14ac:dyDescent="0.2">
      <c r="B4" s="244" t="s">
        <v>395</v>
      </c>
      <c r="C4" s="236" t="s">
        <v>27</v>
      </c>
      <c r="D4" s="279">
        <f>SUM('01'!N2,'02'!N2,'03'!N2,'04'!N2,'05'!N2,'06'!N2,'07'!N2,'08'!N2,'09'!N2,'10'!N2,'11'!N2,'12'!N2,'14'!N2,'15'!N2,'63'!N2,'17'!N2,'18'!N2,'19'!N2,'20'!N2,'21'!N2,'62'!N2)/1000</f>
        <v>259299.60141000003</v>
      </c>
      <c r="E4" s="238">
        <f>SUM('01'!O2,'02'!O2,'03'!O2,'04'!O2,'05'!O2,'06'!O2,'07'!O2,'08'!O2,'09'!O2,'10'!O2,'11'!O2,'12'!O2,'14'!O2,'15'!O2,'63'!O2,'17'!O2,'18'!O2,'19'!O2,'20'!O2,'21'!O2,'62'!O2)</f>
        <v>18063</v>
      </c>
      <c r="F4" s="238">
        <f>SUM('01'!P2,'02'!P2,'03'!P2,'04'!P2,'05'!P2,'06'!P2,'07'!P2,'08'!P2,'09'!P2,'10'!P2,'11'!P2,'12'!P2,'14'!P2,'15'!P2,'63'!P2,'17'!P2,'18'!P2,'19'!P2,'20'!P2,'21'!P2,'62'!P2)</f>
        <v>15159</v>
      </c>
      <c r="G4" s="238">
        <f>SUM('01'!Q2,'02'!Q2,'03'!Q2,'04'!Q2,'05'!Q2,'06'!Q2,'07'!Q2,'08'!Q2,'09'!Q2,'10'!Q2,'11'!Q2,'12'!Q2,'14'!Q2,'15'!Q2,'63'!Q2,'17'!Q2,'18'!Q2,'19'!Q2,'20'!Q2,'21'!Q2,'62'!Q2)</f>
        <v>12603</v>
      </c>
      <c r="H4" s="94">
        <f>SUM(G4/F4)*100</f>
        <v>83.138729467642975</v>
      </c>
    </row>
    <row r="5" spans="2:8" x14ac:dyDescent="0.2">
      <c r="B5" s="276" t="s">
        <v>396</v>
      </c>
      <c r="C5" s="272" t="s">
        <v>28</v>
      </c>
      <c r="D5" s="278">
        <f>SUM('01'!N3,'02'!N3,'03'!N3,'04'!N3,'05'!N3,'06'!N3,'07'!N3,'08'!N3,'09'!N3,'10'!N3,'11'!N3,'12'!N3,'14'!N3,'15'!N3,'63'!N3,'17'!N3,'18'!N3,'19'!N3,'20'!N3,'21'!N3,'62'!N3)/1000</f>
        <v>67134.324789999999</v>
      </c>
      <c r="E5" s="273">
        <f>SUM('01'!O3,'02'!O3,'03'!O3,'04'!O3,'05'!O3,'06'!O3,'07'!O3,'08'!O3,'09'!O3,'10'!O3,'11'!O3,'12'!O3,'14'!O3,'15'!O3,'63'!O3,'17'!O3,'18'!O3,'19'!O3,'20'!O3,'21'!O3,'62'!O3)</f>
        <v>5942</v>
      </c>
      <c r="F5" s="273">
        <f>SUM('01'!P3,'02'!P3,'03'!P3,'04'!P3,'05'!P3,'06'!P3,'07'!P3,'08'!P3,'09'!P3,'10'!P3,'11'!P3,'12'!P3,'14'!P3,'15'!P3,'63'!P3,'17'!P3,'18'!P3,'19'!P3,'20'!P3,'21'!P3,'62'!P3)</f>
        <v>4427</v>
      </c>
      <c r="G5" s="273">
        <f>SUM('01'!Q3,'02'!Q3,'03'!Q3,'04'!Q3,'05'!Q3,'06'!Q3,'07'!Q3,'08'!Q3,'09'!Q3,'10'!Q3,'11'!Q3,'12'!Q3,'14'!Q3,'15'!Q3,'63'!Q3,'17'!Q3,'18'!Q3,'19'!Q3,'20'!Q3,'21'!Q3,'62'!Q3)</f>
        <v>3650</v>
      </c>
      <c r="H5" s="274">
        <f t="shared" ref="H5:H29" si="0">SUM(G5/F5)*100</f>
        <v>82.448610797379715</v>
      </c>
    </row>
    <row r="6" spans="2:8" x14ac:dyDescent="0.2">
      <c r="B6" s="276" t="s">
        <v>397</v>
      </c>
      <c r="C6" s="272" t="s">
        <v>29</v>
      </c>
      <c r="D6" s="278">
        <f>SUM('01'!N4,'02'!N4,'03'!N4,'04'!N4,'05'!N4,'06'!N4,'07'!N4,'08'!N4,'09'!N4,'10'!N4,'11'!N4,'12'!N4,'14'!N4,'15'!N4,'63'!N4,'17'!N4,'18'!N4,'19'!N4,'20'!N4,'21'!N4,'62'!N4)/1000</f>
        <v>6665.2149499999987</v>
      </c>
      <c r="E6" s="273">
        <f>SUM('01'!O4,'02'!O4,'03'!O4,'04'!O4,'05'!O4,'06'!O4,'07'!O4,'08'!O4,'09'!O4,'10'!O4,'11'!O4,'12'!O4,'14'!O4,'15'!O4,'63'!O4,'17'!O4,'18'!O4,'19'!O4,'20'!O4,'21'!O4,'62'!O4)</f>
        <v>1485</v>
      </c>
      <c r="F6" s="273">
        <f>SUM('01'!P4,'02'!P4,'03'!P4,'04'!P4,'05'!P4,'06'!P4,'07'!P4,'08'!P4,'09'!P4,'10'!P4,'11'!P4,'12'!P4,'14'!P4,'15'!P4,'63'!P4,'17'!P4,'18'!P4,'19'!P4,'20'!P4,'21'!P4,'62'!P4)</f>
        <v>1288</v>
      </c>
      <c r="G6" s="273">
        <f>SUM('01'!Q4,'02'!Q4,'03'!Q4,'04'!Q4,'05'!Q4,'06'!Q4,'07'!Q4,'08'!Q4,'09'!Q4,'10'!Q4,'11'!Q4,'12'!Q4,'14'!Q4,'15'!Q4,'63'!Q4,'17'!Q4,'18'!Q4,'19'!Q4,'20'!Q4,'21'!Q4,'62'!Q4)</f>
        <v>660</v>
      </c>
      <c r="H6" s="274">
        <f t="shared" si="0"/>
        <v>51.242236024844722</v>
      </c>
    </row>
    <row r="7" spans="2:8" x14ac:dyDescent="0.2">
      <c r="B7" s="276" t="s">
        <v>399</v>
      </c>
      <c r="C7" s="272" t="s">
        <v>30</v>
      </c>
      <c r="D7" s="278">
        <f>SUM('01'!N5,'02'!N5,'03'!N5,'04'!N5,'05'!N5,'06'!N5,'07'!N5,'08'!N5,'09'!N5,'10'!N5,'11'!N5,'12'!N5,'14'!N5,'15'!N5,'63'!N5,'17'!N5,'18'!N5,'19'!N5,'20'!N5,'21'!N5,'62'!N5)/1000</f>
        <v>33670.706749999998</v>
      </c>
      <c r="E7" s="273">
        <f>SUM('01'!O5,'02'!O5,'03'!O5,'04'!O5,'05'!O5,'06'!O5,'07'!O5,'08'!O5,'09'!O5,'10'!O5,'11'!O5,'12'!O5,'14'!O5,'15'!O5,'63'!O5,'17'!O5,'18'!O5,'19'!O5,'20'!O5,'21'!O5,'62'!O5)</f>
        <v>4125</v>
      </c>
      <c r="F7" s="273">
        <f>SUM('01'!P5,'02'!P5,'03'!P5,'04'!P5,'05'!P5,'06'!P5,'07'!P5,'08'!P5,'09'!P5,'10'!P5,'11'!P5,'12'!P5,'14'!P5,'15'!P5,'63'!P5,'17'!P5,'18'!P5,'19'!P5,'20'!P5,'21'!P5,'62'!P5)</f>
        <v>2924</v>
      </c>
      <c r="G7" s="273">
        <f>SUM('01'!Q5,'02'!Q5,'03'!Q5,'04'!Q5,'05'!Q5,'06'!Q5,'07'!Q5,'08'!Q5,'09'!Q5,'10'!Q5,'11'!Q5,'12'!Q5,'14'!Q5,'15'!Q5,'63'!Q5,'17'!Q5,'18'!Q5,'19'!Q5,'20'!Q5,'21'!Q5,'62'!Q5)</f>
        <v>2727</v>
      </c>
      <c r="H7" s="274">
        <f t="shared" si="0"/>
        <v>93.262653898768804</v>
      </c>
    </row>
    <row r="8" spans="2:8" ht="14.25" customHeight="1" x14ac:dyDescent="0.2">
      <c r="B8" s="276" t="s">
        <v>398</v>
      </c>
      <c r="C8" s="272" t="s">
        <v>31</v>
      </c>
      <c r="D8" s="278">
        <f>SUM('01'!N6,'02'!N6,'03'!N6,'04'!N6,'05'!N6,'06'!N6,'07'!N6,'08'!N6,'09'!N6,'10'!N6,'11'!N6,'12'!N6,'14'!N6,'15'!N6,'63'!N6,'17'!N6,'18'!N6,'19'!N6,'20'!N6,'21'!N6,'62'!N6)/1000</f>
        <v>29865.365469999997</v>
      </c>
      <c r="E8" s="273">
        <f>SUM('01'!O6,'02'!O6,'03'!O6,'04'!O6,'05'!O6,'06'!O6,'07'!O6,'08'!O6,'09'!O6,'10'!O6,'11'!O6,'12'!O6,'14'!O6,'15'!O6,'63'!O6,'17'!O6,'18'!O6,'19'!O6,'20'!O6,'21'!O6,'62'!O6)</f>
        <v>1726</v>
      </c>
      <c r="F8" s="273">
        <f>SUM('01'!P6,'02'!P6,'03'!P6,'04'!P6,'05'!P6,'06'!P6,'07'!P6,'08'!P6,'09'!P6,'10'!P6,'11'!P6,'12'!P6,'14'!P6,'15'!P6,'63'!P6,'17'!P6,'18'!P6,'19'!P6,'20'!P6,'21'!P6,'62'!P6)</f>
        <v>1399</v>
      </c>
      <c r="G8" s="273">
        <f>SUM('01'!Q6,'02'!Q6,'03'!Q6,'04'!Q6,'05'!Q6,'06'!Q6,'07'!Q6,'08'!Q6,'09'!Q6,'10'!Q6,'11'!Q6,'12'!Q6,'14'!Q6,'15'!Q6,'63'!Q6,'17'!Q6,'18'!Q6,'19'!Q6,'20'!Q6,'21'!Q6,'62'!Q6)</f>
        <v>1351</v>
      </c>
      <c r="H8" s="274">
        <f t="shared" si="0"/>
        <v>96.568977841315231</v>
      </c>
    </row>
    <row r="9" spans="2:8" ht="14.25" customHeight="1" x14ac:dyDescent="0.2">
      <c r="B9" s="276" t="s">
        <v>400</v>
      </c>
      <c r="C9" s="272" t="s">
        <v>32</v>
      </c>
      <c r="D9" s="278">
        <f>SUM('01'!N7,'02'!N7,'03'!N7,'04'!N7,'05'!N7,'06'!N7,'07'!N7,'08'!N7,'09'!N7,'10'!N7,'11'!N7,'12'!N7,'14'!N7,'15'!N7,'63'!N7,'17'!N7,'18'!N7,'19'!N7,'20'!N7,'21'!N7,'62'!N7)/1000</f>
        <v>973.37509999999986</v>
      </c>
      <c r="E9" s="273">
        <f>SUM('01'!O7,'02'!O7,'03'!O7,'04'!O7,'05'!O7,'06'!O7,'07'!O7,'08'!O7,'09'!O7,'10'!O7,'11'!O7,'12'!O7,'14'!O7,'15'!O7,'63'!O7,'17'!O7,'18'!O7,'19'!O7,'20'!O7,'21'!O7,'62'!O7)</f>
        <v>568</v>
      </c>
      <c r="F9" s="273">
        <f>SUM('01'!P7,'02'!P7,'03'!P7,'04'!P7,'05'!P7,'06'!P7,'07'!P7,'08'!P7,'09'!P7,'10'!P7,'11'!P7,'12'!P7,'14'!P7,'15'!P7,'63'!P7,'17'!P7,'18'!P7,'19'!P7,'20'!P7,'21'!P7,'62'!P7)</f>
        <v>458</v>
      </c>
      <c r="G9" s="273">
        <f>SUM('01'!Q7,'02'!Q7,'03'!Q7,'04'!Q7,'05'!Q7,'06'!Q7,'07'!Q7,'08'!Q7,'09'!Q7,'10'!Q7,'11'!Q7,'12'!Q7,'14'!Q7,'15'!Q7,'63'!Q7,'17'!Q7,'18'!Q7,'19'!Q7,'20'!Q7,'21'!Q7,'62'!Q7)</f>
        <v>30</v>
      </c>
      <c r="H9" s="274">
        <f t="shared" si="0"/>
        <v>6.5502183406113534</v>
      </c>
    </row>
    <row r="10" spans="2:8" ht="14.25" customHeight="1" x14ac:dyDescent="0.2">
      <c r="B10" s="244" t="s">
        <v>401</v>
      </c>
      <c r="C10" s="236" t="s">
        <v>33</v>
      </c>
      <c r="D10" s="279">
        <f>SUM('01'!N8,'02'!N8,'03'!N8,'04'!N8,'05'!N8,'06'!N8,'07'!N8,'08'!N8,'09'!N8,'10'!N8,'11'!N8,'12'!N8,'14'!N8,'15'!N8,'63'!N8,'17'!N8,'18'!N8,'19'!N8,'20'!N8,'21'!N8,'62'!N8)/1000</f>
        <v>0</v>
      </c>
      <c r="E10" s="238">
        <f>SUM('01'!O8,'02'!O8,'03'!O8,'04'!O8,'05'!O8,'06'!O8,'07'!O8,'08'!O8,'09'!O8,'10'!O8,'11'!O8,'12'!O8,'14'!O8,'15'!O8,'63'!O8,'17'!O8,'18'!O8,'19'!O8,'20'!O8,'21'!O8,'62'!O8)</f>
        <v>0</v>
      </c>
      <c r="F10" s="238">
        <f>SUM('01'!P8,'02'!P8,'03'!P8,'04'!P8,'05'!P8,'06'!P8,'07'!P8,'08'!P8,'09'!P8,'10'!P8,'11'!P8,'12'!P8,'14'!P8,'15'!P8,'63'!P8,'17'!P8,'18'!P8,'19'!P8,'20'!P8,'21'!P8,'62'!P8)</f>
        <v>0</v>
      </c>
      <c r="G10" s="238">
        <f>SUM('01'!Q8,'02'!Q8,'03'!Q8,'04'!Q8,'05'!Q8,'06'!Q8,'07'!Q8,'08'!Q8,'09'!Q8,'10'!Q8,'11'!Q8,'12'!Q8,'14'!Q8,'15'!Q8,'63'!Q8,'17'!Q8,'18'!Q8,'19'!Q8,'20'!Q8,'21'!Q8,'62'!Q8)</f>
        <v>0</v>
      </c>
      <c r="H10" s="94"/>
    </row>
    <row r="11" spans="2:8" ht="14.25" customHeight="1" x14ac:dyDescent="0.2">
      <c r="B11" s="244" t="s">
        <v>6</v>
      </c>
      <c r="C11" s="236" t="s">
        <v>34</v>
      </c>
      <c r="D11" s="279">
        <f>SUM('01'!N9,'02'!N9,'03'!N9,'04'!N9,'05'!N9,'06'!N9,'07'!N9,'08'!N9,'09'!N9,'10'!N9,'11'!N9,'12'!N9,'14'!N9,'15'!N9,'63'!N9,'17'!N9,'18'!N9,'19'!N9,'20'!N9,'21'!N9,'62'!N9)/1000</f>
        <v>97.406970000000001</v>
      </c>
      <c r="E11" s="238">
        <f>SUM('01'!O9,'02'!O9,'03'!O9,'04'!O9,'05'!O9,'06'!O9,'07'!O9,'08'!O9,'09'!O9,'10'!O9,'11'!O9,'12'!O9,'14'!O9,'15'!O9,'63'!O9,'17'!O9,'18'!O9,'19'!O9,'20'!O9,'21'!O9,'62'!O9)</f>
        <v>9</v>
      </c>
      <c r="F11" s="238">
        <f>SUM('01'!P9,'02'!P9,'03'!P9,'04'!P9,'05'!P9,'06'!P9,'07'!P9,'08'!P9,'09'!P9,'10'!P9,'11'!P9,'12'!P9,'14'!P9,'15'!P9,'63'!P9,'17'!P9,'18'!P9,'19'!P9,'20'!P9,'21'!P9,'62'!P9)</f>
        <v>6</v>
      </c>
      <c r="G11" s="238">
        <f>SUM('01'!Q9,'02'!Q9,'03'!Q9,'04'!Q9,'05'!Q9,'06'!Q9,'07'!Q9,'08'!Q9,'09'!Q9,'10'!Q9,'11'!Q9,'12'!Q9,'14'!Q9,'15'!Q9,'63'!Q9,'17'!Q9,'18'!Q9,'19'!Q9,'20'!Q9,'21'!Q9,'62'!Q9)</f>
        <v>3</v>
      </c>
      <c r="H11" s="94"/>
    </row>
    <row r="12" spans="2:8" ht="14.25" customHeight="1" x14ac:dyDescent="0.2">
      <c r="B12" s="244" t="s">
        <v>402</v>
      </c>
      <c r="C12" s="236" t="s">
        <v>35</v>
      </c>
      <c r="D12" s="279">
        <f>SUM('01'!N10,'02'!N10,'03'!N10,'04'!N10,'05'!N10,'06'!N10,'07'!N10,'08'!N10,'09'!N10,'10'!N10,'11'!N10,'12'!N10,'14'!N10,'15'!N10,'63'!N10,'17'!N10,'18'!N10,'19'!N10,'20'!N10,'21'!N10,'62'!N10)/1000</f>
        <v>0</v>
      </c>
      <c r="E12" s="238">
        <f>SUM('01'!O10,'02'!O10,'03'!O10,'04'!O10,'05'!O10,'06'!O10,'07'!O10,'08'!O10,'09'!O10,'10'!O10,'11'!O10,'12'!O10,'14'!O10,'15'!O10,'63'!O10,'17'!O10,'18'!O10,'19'!O10,'20'!O10,'21'!O10,'62'!O10)</f>
        <v>0</v>
      </c>
      <c r="F12" s="238">
        <f>SUM('01'!P10,'02'!P10,'03'!P10,'04'!P10,'05'!P10,'06'!P10,'07'!P10,'08'!P10,'09'!P10,'10'!P10,'11'!P10,'12'!P10,'14'!P10,'15'!P10,'63'!P10,'17'!P10,'18'!P10,'19'!P10,'20'!P10,'21'!P10,'62'!P10)</f>
        <v>0</v>
      </c>
      <c r="G12" s="238">
        <f>SUM('01'!Q10,'02'!Q10,'03'!Q10,'04'!Q10,'05'!Q10,'06'!Q10,'07'!Q10,'08'!Q10,'09'!Q10,'10'!Q10,'11'!Q10,'12'!Q10,'14'!Q10,'15'!Q10,'63'!Q10,'17'!Q10,'18'!Q10,'19'!Q10,'20'!Q10,'21'!Q10,'62'!Q10)</f>
        <v>0</v>
      </c>
      <c r="H12" s="94"/>
    </row>
    <row r="13" spans="2:8" x14ac:dyDescent="0.2">
      <c r="B13" s="244" t="s">
        <v>8</v>
      </c>
      <c r="C13" s="236" t="s">
        <v>36</v>
      </c>
      <c r="D13" s="279">
        <f>SUM('01'!N11,'02'!N11,'03'!N11,'04'!N11,'05'!N11,'06'!N11,'07'!N11,'08'!N11,'09'!N11,'10'!N11,'11'!N11,'12'!N11,'14'!N11,'15'!N11,'63'!N11,'17'!N11,'18'!N11,'19'!N11,'20'!N11,'21'!N11,'62'!N11)/1000</f>
        <v>0</v>
      </c>
      <c r="E13" s="238">
        <f>SUM('01'!O11,'02'!O11,'03'!O11,'04'!O11,'05'!O11,'06'!O11,'07'!O11,'08'!O11,'09'!O11,'10'!O11,'11'!O11,'12'!O11,'14'!O11,'15'!O11,'63'!O11,'17'!O11,'18'!O11,'19'!O11,'20'!O11,'21'!O11,'62'!O11)</f>
        <v>0</v>
      </c>
      <c r="F13" s="238">
        <f>SUM('01'!P11,'02'!P11,'03'!P11,'04'!P11,'05'!P11,'06'!P11,'07'!P11,'08'!P11,'09'!P11,'10'!P11,'11'!P11,'12'!P11,'14'!P11,'15'!P11,'63'!P11,'17'!P11,'18'!P11,'19'!P11,'20'!P11,'21'!P11,'62'!P11)</f>
        <v>0</v>
      </c>
      <c r="G13" s="238">
        <f>SUM('01'!Q11,'02'!Q11,'03'!Q11,'04'!Q11,'05'!Q11,'06'!Q11,'07'!Q11,'08'!Q11,'09'!Q11,'10'!Q11,'11'!Q11,'12'!Q11,'14'!Q11,'15'!Q11,'63'!Q11,'17'!Q11,'18'!Q11,'19'!Q11,'20'!Q11,'21'!Q11,'62'!Q11)</f>
        <v>0</v>
      </c>
      <c r="H13" s="94"/>
    </row>
    <row r="14" spans="2:8" ht="14.25" customHeight="1" x14ac:dyDescent="0.2">
      <c r="B14" s="244" t="s">
        <v>403</v>
      </c>
      <c r="C14" s="236" t="s">
        <v>37</v>
      </c>
      <c r="D14" s="279">
        <f>SUM('01'!N12,'02'!N12,'03'!N12,'04'!N12,'05'!N12,'06'!N12,'07'!N12,'08'!N12,'09'!N12,'10'!N12,'11'!N12,'12'!N12,'14'!N12,'15'!N12,'63'!N12,'17'!N12,'18'!N12,'19'!N12,'20'!N12,'21'!N12,'62'!N12)/1000</f>
        <v>0</v>
      </c>
      <c r="E14" s="238">
        <f>SUM('01'!O12,'02'!O12,'03'!O12,'04'!O12,'05'!O12,'06'!O12,'07'!O12,'08'!O12,'09'!O12,'10'!O12,'11'!O12,'12'!O12,'14'!O12,'15'!O12,'63'!O12,'17'!O12,'18'!O12,'19'!O12,'20'!O12,'21'!O12,'62'!O12)</f>
        <v>0</v>
      </c>
      <c r="F14" s="238">
        <f>SUM('01'!P12,'02'!P12,'03'!P12,'04'!P12,'05'!P12,'06'!P12,'07'!P12,'08'!P12,'09'!P12,'10'!P12,'11'!P12,'12'!P12,'14'!P12,'15'!P12,'63'!P12,'17'!P12,'18'!P12,'19'!P12,'20'!P12,'21'!P12,'62'!P12)</f>
        <v>0</v>
      </c>
      <c r="G14" s="238">
        <f>SUM('01'!Q12,'02'!Q12,'03'!Q12,'04'!Q12,'05'!Q12,'06'!Q12,'07'!Q12,'08'!Q12,'09'!Q12,'10'!Q12,'11'!Q12,'12'!Q12,'14'!Q12,'15'!Q12,'63'!Q12,'17'!Q12,'18'!Q12,'19'!Q12,'20'!Q12,'21'!Q12,'62'!Q12)</f>
        <v>0</v>
      </c>
      <c r="H14" s="94"/>
    </row>
    <row r="15" spans="2:8" ht="14.25" customHeight="1" x14ac:dyDescent="0.2">
      <c r="B15" s="276" t="s">
        <v>9</v>
      </c>
      <c r="C15" s="272" t="s">
        <v>26</v>
      </c>
      <c r="D15" s="278">
        <f>SUM('01'!N13,'02'!N13,'03'!N13,'04'!N13,'05'!N13,'06'!N13,'07'!N13,'08'!N13,'09'!N13,'10'!N13,'11'!N13,'12'!N13,'14'!N13,'15'!N13,'63'!N13,'17'!N13,'18'!N13,'19'!N13,'20'!N13,'21'!N13,'62'!N13)/1000</f>
        <v>568.44283000000007</v>
      </c>
      <c r="E15" s="273">
        <f>SUM('01'!O13,'02'!O13,'03'!O13,'04'!O13,'05'!O13,'06'!O13,'07'!O13,'08'!O13,'09'!O13,'10'!O13,'11'!O13,'12'!O13,'14'!O13,'15'!O13,'63'!O13,'17'!O13,'18'!O13,'19'!O13,'20'!O13,'21'!O13,'62'!O13)</f>
        <v>138</v>
      </c>
      <c r="F15" s="273">
        <f>SUM('01'!P13,'02'!P13,'03'!P13,'04'!P13,'05'!P13,'06'!P13,'07'!P13,'08'!P13,'09'!P13,'10'!P13,'11'!P13,'12'!P13,'14'!P13,'15'!P13,'63'!P13,'17'!P13,'18'!P13,'19'!P13,'20'!P13,'21'!P13,'62'!P13)</f>
        <v>89</v>
      </c>
      <c r="G15" s="273">
        <f>SUM('01'!Q13,'02'!Q13,'03'!Q13,'04'!Q13,'05'!Q13,'06'!Q13,'07'!Q13,'08'!Q13,'09'!Q13,'10'!Q13,'11'!Q13,'12'!Q13,'14'!Q13,'15'!Q13,'63'!Q13,'17'!Q13,'18'!Q13,'19'!Q13,'20'!Q13,'21'!Q13,'62'!Q13)</f>
        <v>47</v>
      </c>
      <c r="H15" s="274">
        <f t="shared" si="0"/>
        <v>52.80898876404494</v>
      </c>
    </row>
    <row r="16" spans="2:8" x14ac:dyDescent="0.2">
      <c r="B16" s="244" t="s">
        <v>404</v>
      </c>
      <c r="C16" s="236" t="s">
        <v>38</v>
      </c>
      <c r="D16" s="279">
        <f>SUM('01'!N14,'02'!N14,'03'!N14,'04'!N14,'05'!N14,'06'!N14,'07'!N14,'08'!N14,'09'!N14,'10'!N14,'11'!N14,'12'!N14,'14'!N14,'15'!N14,'63'!N14,'17'!N14,'18'!N14,'19'!N14,'20'!N14,'21'!N14,'62'!N14)/1000</f>
        <v>398.41852</v>
      </c>
      <c r="E16" s="238">
        <f>SUM('01'!O14,'02'!O14,'03'!O14,'04'!O14,'05'!O14,'06'!O14,'07'!O14,'08'!O14,'09'!O14,'10'!O14,'11'!O14,'12'!O14,'14'!O14,'15'!O14,'63'!O14,'17'!O14,'18'!O14,'19'!O14,'20'!O14,'21'!O14,'62'!O14)</f>
        <v>40</v>
      </c>
      <c r="F16" s="238">
        <f>SUM('01'!P14,'02'!P14,'03'!P14,'04'!P14,'05'!P14,'06'!P14,'07'!P14,'08'!P14,'09'!P14,'10'!P14,'11'!P14,'12'!P14,'14'!P14,'15'!P14,'63'!P14,'17'!P14,'18'!P14,'19'!P14,'20'!P14,'21'!P14,'62'!P14)</f>
        <v>28</v>
      </c>
      <c r="G16" s="238">
        <f>SUM('01'!Q14,'02'!Q14,'03'!Q14,'04'!Q14,'05'!Q14,'06'!Q14,'07'!Q14,'08'!Q14,'09'!Q14,'10'!Q14,'11'!Q14,'12'!Q14,'14'!Q14,'15'!Q14,'63'!Q14,'17'!Q14,'18'!Q14,'19'!Q14,'20'!Q14,'21'!Q14,'62'!Q14)</f>
        <v>25</v>
      </c>
      <c r="H16" s="94"/>
    </row>
    <row r="17" spans="2:8" x14ac:dyDescent="0.2">
      <c r="B17" s="276" t="s">
        <v>11</v>
      </c>
      <c r="C17" s="272" t="s">
        <v>39</v>
      </c>
      <c r="D17" s="278">
        <f>SUM('01'!N15,'02'!N15,'03'!N15,'04'!N15,'05'!N15,'06'!N15,'07'!N15,'08'!N15,'09'!N15,'10'!N15,'11'!N15,'12'!N15,'14'!N15,'15'!N15,'63'!N15,'17'!N15,'18'!N15,'19'!N15,'20'!N15,'21'!N15,'62'!N15)/1000</f>
        <v>9519.6675599999999</v>
      </c>
      <c r="E17" s="273">
        <f>SUM('01'!O15,'02'!O15,'03'!O15,'04'!O15,'05'!O15,'06'!O15,'07'!O15,'08'!O15,'09'!O15,'10'!O15,'11'!O15,'12'!O15,'14'!O15,'15'!O15,'63'!O15,'17'!O15,'18'!O15,'19'!O15,'20'!O15,'21'!O15,'62'!O15)</f>
        <v>840</v>
      </c>
      <c r="F17" s="273">
        <f>SUM('01'!P15,'02'!P15,'03'!P15,'04'!P15,'05'!P15,'06'!P15,'07'!P15,'08'!P15,'09'!P15,'10'!P15,'11'!P15,'12'!P15,'14'!P15,'15'!P15,'63'!P15,'17'!P15,'18'!P15,'19'!P15,'20'!P15,'21'!P15,'62'!P15)</f>
        <v>893</v>
      </c>
      <c r="G17" s="273">
        <f>SUM('01'!Q15,'02'!Q15,'03'!Q15,'04'!Q15,'05'!Q15,'06'!Q15,'07'!Q15,'08'!Q15,'09'!Q15,'10'!Q15,'11'!Q15,'12'!Q15,'14'!Q15,'15'!Q15,'63'!Q15,'17'!Q15,'18'!Q15,'19'!Q15,'20'!Q15,'21'!Q15,'62'!Q15)</f>
        <v>739</v>
      </c>
      <c r="H17" s="274">
        <f t="shared" si="0"/>
        <v>82.754759238521842</v>
      </c>
    </row>
    <row r="18" spans="2:8" ht="14.25" customHeight="1" x14ac:dyDescent="0.2">
      <c r="B18" s="276" t="s">
        <v>405</v>
      </c>
      <c r="C18" s="272" t="s">
        <v>40</v>
      </c>
      <c r="D18" s="278">
        <f>SUM('01'!N16,'02'!N16,'03'!N16,'04'!N16,'05'!N16,'06'!N16,'07'!N16,'08'!N16,'09'!N16,'10'!N16,'11'!N16,'12'!N16,'14'!N16,'15'!N16,'63'!N16,'17'!N16,'18'!N16,'19'!N16,'20'!N16,'21'!N16,'62'!N16)/1000</f>
        <v>2758.62444</v>
      </c>
      <c r="E18" s="273">
        <f>SUM('01'!O16,'02'!O16,'03'!O16,'04'!O16,'05'!O16,'06'!O16,'07'!O16,'08'!O16,'09'!O16,'10'!O16,'11'!O16,'12'!O16,'14'!O16,'15'!O16,'63'!O16,'17'!O16,'18'!O16,'19'!O16,'20'!O16,'21'!O16,'62'!O16)</f>
        <v>205</v>
      </c>
      <c r="F18" s="273">
        <f>SUM('01'!P16,'02'!P16,'03'!P16,'04'!P16,'05'!P16,'06'!P16,'07'!P16,'08'!P16,'09'!P16,'10'!P16,'11'!P16,'12'!P16,'14'!P16,'15'!P16,'63'!P16,'17'!P16,'18'!P16,'19'!P16,'20'!P16,'21'!P16,'62'!P16)</f>
        <v>110</v>
      </c>
      <c r="G18" s="273">
        <f>SUM('01'!Q16,'02'!Q16,'03'!Q16,'04'!Q16,'05'!Q16,'06'!Q16,'07'!Q16,'08'!Q16,'09'!Q16,'10'!Q16,'11'!Q16,'12'!Q16,'14'!Q16,'15'!Q16,'63'!Q16,'17'!Q16,'18'!Q16,'19'!Q16,'20'!Q16,'21'!Q16,'62'!Q16)</f>
        <v>93</v>
      </c>
      <c r="H18" s="274">
        <f t="shared" si="0"/>
        <v>84.545454545454547</v>
      </c>
    </row>
    <row r="19" spans="2:8" x14ac:dyDescent="0.2">
      <c r="B19" s="244" t="s">
        <v>406</v>
      </c>
      <c r="C19" s="236" t="s">
        <v>41</v>
      </c>
      <c r="D19" s="279">
        <f>SUM('01'!N17,'02'!N17,'03'!N17,'04'!N17,'05'!N17,'06'!N17,'07'!N17,'08'!N17,'09'!N17,'10'!N17,'11'!N17,'12'!N17,'14'!N17,'15'!N17,'63'!N17,'17'!N17,'18'!N17,'19'!N17,'20'!N17,'21'!N17,'62'!N17)/1000</f>
        <v>0</v>
      </c>
      <c r="E19" s="238">
        <f>SUM('01'!O17,'02'!O17,'03'!O17,'04'!O17,'05'!O17,'06'!O17,'07'!O17,'08'!O17,'09'!O17,'10'!O17,'11'!O17,'12'!O17,'14'!O17,'15'!O17,'63'!O17,'17'!O17,'18'!O17,'19'!O17,'20'!O17,'21'!O17,'62'!O17)</f>
        <v>0</v>
      </c>
      <c r="F19" s="238">
        <f>SUM('01'!P17,'02'!P17,'03'!P17,'04'!P17,'05'!P17,'06'!P17,'07'!P17,'08'!P17,'09'!P17,'10'!P17,'11'!P17,'12'!P17,'14'!P17,'15'!P17,'63'!P17,'17'!P17,'18'!P17,'19'!P17,'20'!P17,'21'!P17,'62'!P17)</f>
        <v>0</v>
      </c>
      <c r="G19" s="238">
        <f>SUM('01'!Q17,'02'!Q17,'03'!Q17,'04'!Q17,'05'!Q17,'06'!Q17,'07'!Q17,'08'!Q17,'09'!Q17,'10'!Q17,'11'!Q17,'12'!Q17,'14'!Q17,'15'!Q17,'63'!Q17,'17'!Q17,'18'!Q17,'19'!Q17,'20'!Q17,'21'!Q17,'62'!Q17)</f>
        <v>0</v>
      </c>
      <c r="H19" s="94"/>
    </row>
    <row r="20" spans="2:8" ht="14.25" customHeight="1" x14ac:dyDescent="0.2">
      <c r="B20" s="276" t="s">
        <v>376</v>
      </c>
      <c r="C20" s="272" t="s">
        <v>42</v>
      </c>
      <c r="D20" s="278">
        <f>SUM('01'!N18,'02'!N18,'03'!N18,'04'!N18,'05'!N18,'06'!N18,'07'!N18,'08'!N18,'09'!N18,'10'!N18,'11'!N18,'12'!N18,'14'!N18,'15'!N18,'63'!N18,'17'!N18,'18'!N18,'19'!N18,'20'!N18,'21'!N18,'62'!N18)/1000</f>
        <v>43.390140000000002</v>
      </c>
      <c r="E20" s="273">
        <f>SUM('01'!O18,'02'!O18,'03'!O18,'04'!O18,'05'!O18,'06'!O18,'07'!O18,'08'!O18,'09'!O18,'10'!O18,'11'!O18,'12'!O18,'14'!O18,'15'!O18,'63'!O18,'17'!O18,'18'!O18,'19'!O18,'20'!O18,'21'!O18,'62'!O18)</f>
        <v>6</v>
      </c>
      <c r="F20" s="273">
        <f>SUM('01'!P18,'02'!P18,'03'!P18,'04'!P18,'05'!P18,'06'!P18,'07'!P18,'08'!P18,'09'!P18,'10'!P18,'11'!P18,'12'!P18,'14'!P18,'15'!P18,'63'!P18,'17'!P18,'18'!P18,'19'!P18,'20'!P18,'21'!P18,'62'!P18)</f>
        <v>6</v>
      </c>
      <c r="G20" s="273">
        <f>SUM('01'!Q18,'02'!Q18,'03'!Q18,'04'!Q18,'05'!Q18,'06'!Q18,'07'!Q18,'08'!Q18,'09'!Q18,'10'!Q18,'11'!Q18,'12'!Q18,'14'!Q18,'15'!Q18,'63'!Q18,'17'!Q18,'18'!Q18,'19'!Q18,'20'!Q18,'21'!Q18,'62'!Q18)</f>
        <v>1</v>
      </c>
      <c r="H20" s="274">
        <f t="shared" si="0"/>
        <v>16.666666666666664</v>
      </c>
    </row>
    <row r="21" spans="2:8" x14ac:dyDescent="0.2">
      <c r="B21" s="276" t="s">
        <v>377</v>
      </c>
      <c r="C21" s="272" t="s">
        <v>43</v>
      </c>
      <c r="D21" s="278">
        <f>SUM('01'!N19,'02'!N19,'03'!N19,'04'!N19,'05'!N19,'06'!N19,'07'!N19,'08'!N19,'09'!N19,'10'!N19,'11'!N19,'12'!N19,'14'!N19,'15'!N19,'63'!N19,'17'!N19,'18'!N19,'19'!N19,'20'!N19,'21'!N19,'62'!N19)/1000</f>
        <v>427.64883999999995</v>
      </c>
      <c r="E21" s="273">
        <f>SUM('01'!O19,'02'!O19,'03'!O19,'04'!O19,'05'!O19,'06'!O19,'07'!O19,'08'!O19,'09'!O19,'10'!O19,'11'!O19,'12'!O19,'14'!O19,'15'!O19,'63'!O19,'17'!O19,'18'!O19,'19'!O19,'20'!O19,'21'!O19,'62'!O19)</f>
        <v>65</v>
      </c>
      <c r="F21" s="273">
        <f>SUM('01'!P19,'02'!P19,'03'!P19,'04'!P19,'05'!P19,'06'!P19,'07'!P19,'08'!P19,'09'!P19,'10'!P19,'11'!P19,'12'!P19,'14'!P19,'15'!P19,'63'!P19,'17'!P19,'18'!P19,'19'!P19,'20'!P19,'21'!P19,'62'!P19)</f>
        <v>52</v>
      </c>
      <c r="G21" s="273">
        <f>SUM('01'!Q19,'02'!Q19,'03'!Q19,'04'!Q19,'05'!Q19,'06'!Q19,'07'!Q19,'08'!Q19,'09'!Q19,'10'!Q19,'11'!Q19,'12'!Q19,'14'!Q19,'15'!Q19,'63'!Q19,'17'!Q19,'18'!Q19,'19'!Q19,'20'!Q19,'21'!Q19,'62'!Q19)</f>
        <v>16</v>
      </c>
      <c r="H21" s="274">
        <f t="shared" si="0"/>
        <v>30.76923076923077</v>
      </c>
    </row>
    <row r="22" spans="2:8" ht="14.25" customHeight="1" x14ac:dyDescent="0.2">
      <c r="B22" s="244" t="s">
        <v>15</v>
      </c>
      <c r="C22" s="236" t="s">
        <v>44</v>
      </c>
      <c r="D22" s="279">
        <f>SUM('01'!N20,'02'!N20,'03'!N20,'04'!N20,'05'!N20,'06'!N20,'07'!N20,'08'!N20,'09'!N20,'10'!N20,'11'!N20,'12'!N20,'14'!N20,'15'!N20,'63'!N20,'17'!N20,'18'!N20,'19'!N20,'20'!N20,'21'!N20,'62'!N20)/1000</f>
        <v>0</v>
      </c>
      <c r="E22" s="238">
        <f>SUM('01'!O20,'02'!O20,'03'!O20,'04'!O20,'05'!O20,'06'!O20,'07'!O20,'08'!O20,'09'!O20,'10'!O20,'11'!O20,'12'!O20,'14'!O20,'15'!O20,'63'!O20,'17'!O20,'18'!O20,'19'!O20,'20'!O20,'21'!O20,'62'!O20)</f>
        <v>0</v>
      </c>
      <c r="F22" s="238">
        <f>SUM('01'!P20,'02'!P20,'03'!P20,'04'!P20,'05'!P20,'06'!P20,'07'!P20,'08'!P20,'09'!P20,'10'!P20,'11'!P20,'12'!P20,'14'!P20,'15'!P20,'63'!P20,'17'!P20,'18'!P20,'19'!P20,'20'!P20,'21'!P20,'62'!P20)</f>
        <v>0</v>
      </c>
      <c r="G22" s="238">
        <f>SUM('01'!Q20,'02'!Q20,'03'!Q20,'04'!Q20,'05'!Q20,'06'!Q20,'07'!Q20,'08'!Q20,'09'!Q20,'10'!Q20,'11'!Q20,'12'!Q20,'14'!Q20,'15'!Q20,'63'!Q20,'17'!Q20,'18'!Q20,'19'!Q20,'20'!Q20,'21'!Q20,'62'!Q20)</f>
        <v>0</v>
      </c>
      <c r="H22" s="94"/>
    </row>
    <row r="23" spans="2:8" ht="15.75" customHeight="1" x14ac:dyDescent="0.2">
      <c r="B23" s="276" t="s">
        <v>16</v>
      </c>
      <c r="C23" s="272" t="s">
        <v>45</v>
      </c>
      <c r="D23" s="278">
        <f>SUM('01'!N21,'02'!N21,'03'!N21,'04'!N21,'05'!N21,'06'!N21,'07'!N21,'08'!N21,'09'!N21,'10'!N21,'11'!N21,'12'!N21,'14'!N21,'15'!N21,'63'!N21,'17'!N21,'18'!N21,'19'!N21,'20'!N21,'21'!N21,'62'!N21)/1000</f>
        <v>60856.502309999989</v>
      </c>
      <c r="E23" s="273">
        <f>SUM('01'!O21,'02'!O21,'03'!O21,'04'!O21,'05'!O21,'06'!O21,'07'!O21,'08'!O21,'09'!O21,'10'!O21,'11'!O21,'12'!O21,'14'!O21,'15'!O21,'63'!O21,'17'!O21,'18'!O21,'19'!O21,'20'!O21,'21'!O21,'62'!O21)</f>
        <v>1700</v>
      </c>
      <c r="F23" s="273">
        <f>SUM('01'!P21,'02'!P21,'03'!P21,'04'!P21,'05'!P21,'06'!P21,'07'!P21,'08'!P21,'09'!P21,'10'!P21,'11'!P21,'12'!P21,'14'!P21,'15'!P21,'63'!P21,'17'!P21,'18'!P21,'19'!P21,'20'!P21,'21'!P21,'62'!P21)</f>
        <v>1810</v>
      </c>
      <c r="G23" s="273">
        <f>SUM('01'!Q21,'02'!Q21,'03'!Q21,'04'!Q21,'05'!Q21,'06'!Q21,'07'!Q21,'08'!Q21,'09'!Q21,'10'!Q21,'11'!Q21,'12'!Q21,'14'!Q21,'15'!Q21,'63'!Q21,'17'!Q21,'18'!Q21,'19'!Q21,'20'!Q21,'21'!Q21,'62'!Q21)</f>
        <v>1762</v>
      </c>
      <c r="H23" s="274">
        <f t="shared" si="0"/>
        <v>97.348066298342545</v>
      </c>
    </row>
    <row r="24" spans="2:8" ht="14.25" customHeight="1" x14ac:dyDescent="0.2">
      <c r="B24" s="244" t="s">
        <v>407</v>
      </c>
      <c r="C24" s="236" t="s">
        <v>46</v>
      </c>
      <c r="D24" s="279">
        <f>SUM('01'!N22,'02'!N22,'03'!N22,'04'!N22,'05'!N22,'06'!N22,'07'!N22,'08'!N22,'09'!N22,'10'!N22,'11'!N22,'12'!N22,'14'!N22,'15'!N22,'63'!N22,'17'!N22,'18'!N22,'19'!N22,'20'!N22,'21'!N22,'62'!N22)/1000</f>
        <v>0</v>
      </c>
      <c r="E24" s="238">
        <f>SUM('01'!O22,'02'!O22,'03'!O22,'04'!O22,'05'!O22,'06'!O22,'07'!O22,'08'!O22,'09'!O22,'10'!O22,'11'!O22,'12'!O22,'14'!O22,'15'!O22,'63'!O22,'17'!O22,'18'!O22,'19'!O22,'20'!O22,'21'!O22,'62'!O22)</f>
        <v>0</v>
      </c>
      <c r="F24" s="238">
        <f>SUM('01'!P22,'02'!P22,'03'!P22,'04'!P22,'05'!P22,'06'!P22,'07'!P22,'08'!P22,'09'!P22,'10'!P22,'11'!P22,'12'!P22,'14'!P22,'15'!P22,'63'!P22,'17'!P22,'18'!P22,'19'!P22,'20'!P22,'21'!P22,'62'!P22)</f>
        <v>0</v>
      </c>
      <c r="G24" s="238">
        <f>SUM('01'!Q22,'02'!Q22,'03'!Q22,'04'!Q22,'05'!Q22,'06'!Q22,'07'!Q22,'08'!Q22,'09'!Q22,'10'!Q22,'11'!Q22,'12'!Q22,'14'!Q22,'15'!Q22,'63'!Q22,'17'!Q22,'18'!Q22,'19'!Q22,'20'!Q22,'21'!Q22,'62'!Q22)</f>
        <v>0</v>
      </c>
      <c r="H24" s="94"/>
    </row>
    <row r="25" spans="2:8" x14ac:dyDescent="0.2">
      <c r="B25" s="276" t="s">
        <v>17</v>
      </c>
      <c r="C25" s="272" t="s">
        <v>47</v>
      </c>
      <c r="D25" s="278">
        <f>SUM('01'!N23,'02'!N23,'03'!N23,'04'!N23,'05'!N23,'06'!N23,'07'!N23,'08'!N23,'09'!N23,'10'!N23,'11'!N23,'12'!N23,'14'!N23,'15'!N23,'63'!N23,'17'!N23,'18'!N23,'19'!N23,'20'!N23,'21'!N23,'62'!N23)/1000</f>
        <v>44378.20839</v>
      </c>
      <c r="E25" s="273">
        <f>SUM('01'!O23,'02'!O23,'03'!O23,'04'!O23,'05'!O23,'06'!O23,'07'!O23,'08'!O23,'09'!O23,'10'!O23,'11'!O23,'12'!O23,'14'!O23,'15'!O23,'63'!O23,'17'!O23,'18'!O23,'19'!O23,'20'!O23,'21'!O23,'62'!O23)</f>
        <v>1118</v>
      </c>
      <c r="F25" s="273">
        <f>SUM('01'!P23,'02'!P23,'03'!P23,'04'!P23,'05'!P23,'06'!P23,'07'!P23,'08'!P23,'09'!P23,'10'!P23,'11'!P23,'12'!P23,'14'!P23,'15'!P23,'63'!P23,'17'!P23,'18'!P23,'19'!P23,'20'!P23,'21'!P23,'62'!P23)</f>
        <v>1628</v>
      </c>
      <c r="G25" s="273">
        <f>SUM('01'!Q23,'02'!Q23,'03'!Q23,'04'!Q23,'05'!Q23,'06'!Q23,'07'!Q23,'08'!Q23,'09'!Q23,'10'!Q23,'11'!Q23,'12'!Q23,'14'!Q23,'15'!Q23,'63'!Q23,'17'!Q23,'18'!Q23,'19'!Q23,'20'!Q23,'21'!Q23,'62'!Q23)</f>
        <v>1463</v>
      </c>
      <c r="H25" s="274">
        <f t="shared" si="0"/>
        <v>89.86486486486487</v>
      </c>
    </row>
    <row r="26" spans="2:8" ht="14.25" customHeight="1" x14ac:dyDescent="0.2">
      <c r="B26" s="244" t="s">
        <v>407</v>
      </c>
      <c r="C26" s="236" t="s">
        <v>48</v>
      </c>
      <c r="D26" s="279">
        <f>SUM('01'!N24,'02'!N24,'03'!N24,'04'!N24,'05'!N24,'06'!N24,'07'!N24,'08'!N24,'09'!N24,'10'!N24,'11'!N24,'12'!N24,'14'!N24,'15'!N24,'63'!N24,'17'!N24,'18'!N24,'19'!N24,'20'!N24,'21'!N24,'62'!N24)/1000</f>
        <v>0</v>
      </c>
      <c r="E26" s="238">
        <f>SUM('01'!O24,'02'!O24,'03'!O24,'04'!O24,'05'!O24,'06'!O24,'07'!O24,'08'!O24,'09'!O24,'10'!O24,'11'!O24,'12'!O24,'14'!O24,'15'!O24,'63'!O24,'17'!O24,'18'!O24,'19'!O24,'20'!O24,'21'!O24,'62'!O24)</f>
        <v>0</v>
      </c>
      <c r="F26" s="238">
        <f>SUM('01'!P24,'02'!P24,'03'!P24,'04'!P24,'05'!P24,'06'!P24,'07'!P24,'08'!P24,'09'!P24,'10'!P24,'11'!P24,'12'!P24,'14'!P24,'15'!P24,'63'!P24,'17'!P24,'18'!P24,'19'!P24,'20'!P24,'21'!P24,'62'!P24)</f>
        <v>0</v>
      </c>
      <c r="G26" s="238">
        <f>SUM('01'!Q24,'02'!Q24,'03'!Q24,'04'!Q24,'05'!Q24,'06'!Q24,'07'!Q24,'08'!Q24,'09'!Q24,'10'!Q24,'11'!Q24,'12'!Q24,'14'!Q24,'15'!Q24,'63'!Q24,'17'!Q24,'18'!Q24,'19'!Q24,'20'!Q24,'21'!Q24,'62'!Q24)</f>
        <v>0</v>
      </c>
      <c r="H26" s="94"/>
    </row>
    <row r="27" spans="2:8" x14ac:dyDescent="0.2">
      <c r="B27" s="244" t="s">
        <v>18</v>
      </c>
      <c r="C27" s="236" t="s">
        <v>319</v>
      </c>
      <c r="D27" s="279">
        <f>SUM('01'!N25,'02'!N25,'03'!N25,'04'!N25,'05'!N25,'06'!N25,'07'!N25,'08'!N25,'09'!N25,'10'!N25,'11'!N25,'12'!N25,'14'!N25,'15'!N25,'63'!N25,'17'!N25,'18'!N25,'19'!N25,'20'!N25,'21'!N25,'62'!N25)/1000</f>
        <v>0</v>
      </c>
      <c r="E27" s="238">
        <f>SUM('01'!O25,'02'!O25,'03'!O25,'04'!O25,'05'!O25,'06'!O25,'07'!O25,'08'!O25,'09'!O25,'10'!O25,'11'!O25,'12'!O25,'14'!O25,'15'!O25,'63'!O25,'17'!O25,'18'!O25,'19'!O25,'20'!O25,'21'!O25,'62'!O25)</f>
        <v>0</v>
      </c>
      <c r="F27" s="238">
        <f>SUM('01'!P25,'02'!P25,'03'!P25,'04'!P25,'05'!P25,'06'!P25,'07'!P25,'08'!P25,'09'!P25,'10'!P25,'11'!P25,'12'!P25,'14'!P25,'15'!P25,'63'!P25,'17'!P25,'18'!P25,'19'!P25,'20'!P25,'21'!P25,'62'!P25)</f>
        <v>0</v>
      </c>
      <c r="G27" s="238">
        <f>SUM('01'!Q25,'02'!Q25,'03'!Q25,'04'!Q25,'05'!Q25,'06'!Q25,'07'!Q25,'08'!Q25,'09'!Q25,'10'!Q25,'11'!Q25,'12'!Q25,'14'!Q25,'15'!Q25,'63'!Q25,'17'!Q25,'18'!Q25,'19'!Q25,'20'!Q25,'21'!Q25,'62'!Q25)</f>
        <v>0</v>
      </c>
      <c r="H27" s="94"/>
    </row>
    <row r="28" spans="2:8" x14ac:dyDescent="0.2">
      <c r="B28" s="276" t="s">
        <v>358</v>
      </c>
      <c r="C28" s="272" t="s">
        <v>320</v>
      </c>
      <c r="D28" s="278">
        <f>SUM('01'!N26,'02'!N26,'03'!N26,'04'!N26,'05'!N26,'06'!N26,'07'!N26,'08'!N26,'09'!N26,'10'!N26,'11'!N26,'12'!N26,'14'!N26,'15'!N26,'63'!N26,'17'!N26,'18'!N26,'19'!N26,'20'!N26,'21'!N26,'62'!N26)/1000</f>
        <v>13.67</v>
      </c>
      <c r="E28" s="273">
        <f>SUM('01'!O26,'02'!O26,'03'!O26,'04'!O26,'05'!O26,'06'!O26,'07'!O26,'08'!O26,'09'!O26,'10'!O26,'11'!O26,'12'!O26,'14'!O26,'15'!O26,'63'!O26,'17'!O26,'18'!O26,'19'!O26,'20'!O26,'21'!O26,'62'!O26)</f>
        <v>3</v>
      </c>
      <c r="F28" s="273">
        <f>SUM('01'!P26,'02'!P26,'03'!P26,'04'!P26,'05'!P26,'06'!P26,'07'!P26,'08'!P26,'09'!P26,'10'!P26,'11'!P26,'12'!P26,'14'!P26,'15'!P26,'63'!P26,'17'!P26,'18'!P26,'19'!P26,'20'!P26,'21'!P26,'62'!P26)</f>
        <v>0</v>
      </c>
      <c r="G28" s="273">
        <f>SUM('01'!Q26,'02'!Q26,'03'!Q26,'04'!Q26,'05'!Q26,'06'!Q26,'07'!Q26,'08'!Q26,'09'!Q26,'10'!Q26,'11'!Q26,'12'!Q26,'14'!Q26,'15'!Q26,'63'!Q26,'17'!Q26,'18'!Q26,'19'!Q26,'20'!Q26,'21'!Q26,'62'!Q26)</f>
        <v>0</v>
      </c>
      <c r="H28" s="274" t="e">
        <f t="shared" si="0"/>
        <v>#DIV/0!</v>
      </c>
    </row>
    <row r="29" spans="2:8" x14ac:dyDescent="0.2">
      <c r="B29" s="275" t="s">
        <v>408</v>
      </c>
      <c r="C29" s="272" t="s">
        <v>321</v>
      </c>
      <c r="D29" s="278">
        <f>SUM('01'!N27,'02'!N27,'03'!N27,'04'!N27,'05'!N27,'06'!N27,'07'!N27,'08'!N27,'09'!N27,'10'!N27,'11'!N27,'12'!N27,'14'!N27,'15'!N27,'63'!N27,'17'!N27,'18'!N27,'19'!N27,'20'!N27,'21'!N27,'62'!N27)/1000</f>
        <v>1928.6343499999998</v>
      </c>
      <c r="E29" s="273">
        <f>SUM('01'!O27,'02'!O27,'03'!O27,'04'!O27,'05'!O27,'06'!O27,'07'!O27,'08'!O27,'09'!O27,'10'!O27,'11'!O27,'12'!O27,'14'!O27,'15'!O27,'63'!O27,'17'!O27,'18'!O27,'19'!O27,'20'!O27,'21'!O27,'62'!O27)</f>
        <v>93</v>
      </c>
      <c r="F29" s="273">
        <f>SUM('01'!P27,'02'!P27,'03'!P27,'04'!P27,'05'!P27,'06'!P27,'07'!P27,'08'!P27,'09'!P27,'10'!P27,'11'!P27,'12'!P27,'14'!P27,'15'!P27,'63'!P27,'17'!P27,'18'!P27,'19'!P27,'20'!P27,'21'!P27,'62'!P27)</f>
        <v>41</v>
      </c>
      <c r="G29" s="273">
        <f>SUM('01'!Q27,'02'!Q27,'03'!Q27,'04'!Q27,'05'!Q27,'06'!Q27,'07'!Q27,'08'!Q27,'09'!Q27,'10'!Q27,'11'!Q27,'12'!Q27,'14'!Q27,'15'!Q27,'63'!Q27,'17'!Q27,'18'!Q27,'19'!Q27,'20'!Q27,'21'!Q27,'62'!Q27)</f>
        <v>36</v>
      </c>
      <c r="H29" s="274">
        <f t="shared" si="0"/>
        <v>87.804878048780495</v>
      </c>
    </row>
    <row r="30" spans="2:8" x14ac:dyDescent="0.2">
      <c r="B30" s="244" t="s">
        <v>215</v>
      </c>
      <c r="C30" s="236" t="s">
        <v>322</v>
      </c>
      <c r="D30" s="279">
        <f>SUM('01'!N28,'02'!N28,'03'!N28,'04'!N28,'05'!N28,'06'!N28,'07'!N28,'08'!N28,'09'!N28,'10'!N28,'11'!N28,'12'!N28,'14'!N28,'15'!N28,'63'!N28,'17'!N28,'18'!N28,'19'!N28,'20'!N28,'21'!N28,'62'!N28)/1000</f>
        <v>0</v>
      </c>
      <c r="E30" s="238">
        <f>SUM('01'!O28,'02'!O28,'03'!O28,'04'!O28,'05'!O28,'06'!O28,'07'!O28,'08'!O28,'09'!O28,'10'!O28,'11'!O28,'12'!O28,'14'!O28,'15'!O28,'63'!O28,'17'!O28,'18'!O28,'19'!O28,'20'!O28,'21'!O28,'62'!O28)</f>
        <v>0</v>
      </c>
      <c r="F30" s="238">
        <f>SUM('01'!P28,'02'!P28,'03'!P28,'04'!P28,'05'!P28,'06'!P28,'07'!P28,'08'!P28,'09'!P28,'10'!P28,'11'!P28,'12'!P28,'14'!P28,'15'!P28,'63'!P28,'17'!P28,'18'!P28,'19'!P28,'20'!P28,'21'!P28,'62'!P28)</f>
        <v>0</v>
      </c>
      <c r="G30" s="238">
        <f>SUM('01'!Q28,'02'!Q28,'03'!Q28,'04'!Q28,'05'!Q28,'06'!Q28,'07'!Q28,'08'!Q28,'09'!Q28,'10'!Q28,'11'!Q28,'12'!Q28,'14'!Q28,'15'!Q28,'63'!Q28,'17'!Q28,'18'!Q28,'19'!Q28,'20'!Q28,'21'!Q28,'62'!Q28)</f>
        <v>0</v>
      </c>
      <c r="H30" s="94"/>
    </row>
    <row r="31" spans="2:8" x14ac:dyDescent="0.2">
      <c r="B31" s="244" t="s">
        <v>409</v>
      </c>
      <c r="C31" s="265" t="s">
        <v>391</v>
      </c>
      <c r="D31" s="127">
        <f>SUM('01'!N29,'02'!N29,'03'!N29,'04'!N29,'05'!N29,'06'!N29,'07'!N29,'08'!N29,'09'!N29,'10'!N29,'11'!N29,'12'!N29,'14'!N29,'15'!N29,'63'!N29,'17'!N29,'18'!N29,'19'!N29,'20'!N29,'21'!N29,'62'!N29)/1000</f>
        <v>0</v>
      </c>
      <c r="E31" s="46">
        <f>SUM('01'!O29,'02'!O29,'03'!O29,'04'!O29,'05'!O29,'06'!O29,'07'!O29,'08'!O29,'09'!O29,'10'!O29,'11'!O29,'12'!O29,'14'!O29,'15'!O29,'63'!O29,'17'!O29,'18'!O29,'19'!O29,'20'!O29,'21'!O29,'62'!O29)</f>
        <v>0</v>
      </c>
      <c r="F31" s="46">
        <f>SUM('01'!P29,'02'!P29,'03'!P29,'04'!P29,'05'!P29,'06'!P29,'07'!P29,'08'!P29,'09'!P29,'10'!P29,'11'!P29,'12'!P29,'14'!P29,'15'!P29,'63'!P29,'17'!P29,'18'!P29,'19'!P29,'20'!P29,'21'!P29,'62'!P29)</f>
        <v>0</v>
      </c>
      <c r="G31" s="46">
        <f>SUM('01'!Q29,'02'!Q29,'03'!Q29,'04'!Q29,'05'!Q29,'06'!Q29,'07'!Q29,'08'!Q29,'09'!Q29,'10'!Q29,'11'!Q29,'12'!Q29,'14'!Q29,'15'!Q29,'63'!Q29,'17'!Q29,'18'!Q29,'19'!Q29,'20'!Q29,'21'!Q29,'62'!Q29)</f>
        <v>0</v>
      </c>
    </row>
    <row r="32" spans="2:8" x14ac:dyDescent="0.2">
      <c r="B32" s="244" t="s">
        <v>410</v>
      </c>
      <c r="C32" s="265" t="s">
        <v>392</v>
      </c>
      <c r="D32" s="125">
        <f>SUM('01'!N30,'02'!N30,'03'!N30,'04'!N30,'05'!N30,'06'!N30,'07'!N30,'08'!N30,'09'!N30,'10'!N30,'11'!N30,'12'!N30,'14'!N30,'15'!N30,'63'!N30,'17'!N30,'18'!N30,'19'!N30,'20'!N30,'21'!N30,'62'!N30)/1000</f>
        <v>0</v>
      </c>
      <c r="E32" s="46">
        <f>SUM('01'!O30,'02'!O30,'03'!O30,'04'!O30,'05'!O30,'06'!O30,'07'!O30,'08'!O30,'09'!O30,'10'!O30,'11'!O30,'12'!O30,'14'!O30,'15'!O30,'63'!O30,'17'!O30,'18'!O30,'19'!O30,'20'!O30,'21'!O30,'62'!O30)</f>
        <v>0</v>
      </c>
      <c r="F32" s="46">
        <f>SUM('01'!P30,'02'!P30,'03'!P30,'04'!P30,'05'!P30,'06'!P30,'07'!P30,'08'!P30,'09'!P30,'10'!P30,'11'!P30,'12'!P30,'14'!P30,'15'!P30,'63'!P30,'17'!P30,'18'!P30,'19'!P30,'20'!P30,'21'!P30,'62'!P30)</f>
        <v>0</v>
      </c>
      <c r="G32" s="46">
        <f>SUM('01'!Q30,'02'!Q30,'03'!Q30,'04'!Q30,'05'!Q30,'06'!Q30,'07'!Q30,'08'!Q30,'09'!Q30,'10'!Q30,'11'!Q30,'12'!Q30,'14'!Q30,'15'!Q30,'63'!Q30,'17'!Q30,'18'!Q30,'19'!Q30,'20'!Q30,'21'!Q30,'62'!Q30)</f>
        <v>0</v>
      </c>
      <c r="H32" s="94"/>
    </row>
    <row r="33" spans="2:8" x14ac:dyDescent="0.2">
      <c r="B33" s="244" t="s">
        <v>411</v>
      </c>
      <c r="C33" s="265" t="s">
        <v>393</v>
      </c>
      <c r="D33" s="125">
        <f>SUM('01'!N35,'02'!N35,'03'!N35,'04'!N35,'05'!N35,'06'!N35,'07'!N35,'08'!N35,'09'!N35,'10'!N35,'11'!N35,'12'!N35,'14'!N35,'15'!N35,'63'!N35,'17'!N35,'18'!N35,'19'!N35,'20'!N35,'21'!N35,'62'!N35)/1000</f>
        <v>242570.32265999998</v>
      </c>
      <c r="E33" s="46">
        <f>SUM('01'!O31,'02'!O31,'03'!O31,'04'!O31,'05'!O31,'06'!O31,'07'!O31,'08'!O31,'09'!O31,'10'!O31,'11'!O31,'12'!O31,'14'!O31,'15'!O31,'63'!O31,'17'!O31,'18'!O31,'19'!O31,'20'!O31,'21'!O31,'62'!O31)</f>
        <v>0</v>
      </c>
      <c r="F33" s="46">
        <f>SUM('01'!P31,'02'!P31,'03'!P31,'04'!P31,'05'!P31,'06'!P31,'07'!P31,'08'!P31,'09'!P31,'10'!P31,'11'!P31,'12'!P31,'14'!P31,'15'!P31,'63'!P31,'17'!P31,'18'!P31,'19'!P31,'20'!P31,'21'!P31,'62'!P31)</f>
        <v>0</v>
      </c>
      <c r="G33" s="46">
        <f>SUM('01'!Q31,'02'!Q31,'03'!Q31,'04'!Q31,'05'!Q31,'06'!Q31,'07'!Q31,'08'!Q31,'09'!Q31,'10'!Q31,'11'!Q31,'12'!Q31,'14'!Q31,'15'!Q31,'63'!Q31,'17'!Q31,'18'!Q31,'19'!Q31,'20'!Q31,'21'!Q31,'62'!Q31)</f>
        <v>0</v>
      </c>
      <c r="H33" s="94"/>
    </row>
    <row r="34" spans="2:8" x14ac:dyDescent="0.2">
      <c r="B34" s="281" t="s">
        <v>412</v>
      </c>
      <c r="C34" s="280" t="s">
        <v>394</v>
      </c>
      <c r="D34" s="556">
        <f>SUM('01'!N32,'02'!N32,'03'!N32,'04'!N32,'05'!N32,'06'!N32,'07'!N32,'08'!N32,'09'!N32,'10'!N32,'11'!N32,'12'!N32,'14'!N32,'15'!N32,'63'!N32,'17'!N32,'18'!N32,'19'!N32,'20'!N32,'21'!N32,'62'!N32)/1000</f>
        <v>518599.20282000006</v>
      </c>
      <c r="E34" s="293">
        <f>SUM('01'!O32,'02'!O32,'03'!O32,'04'!O32,'05'!O32,'06'!O32,'07'!O32,'08'!O32,'09'!O32,'10'!O32,'11'!O32,'12'!O32,'14'!O32,'15'!O32,'63'!O32,'17'!O32,'18'!O32,'19'!O32,'20'!O32,'21'!O32,'62'!O32)</f>
        <v>36126</v>
      </c>
      <c r="F34" s="293">
        <f>SUM('01'!P32,'02'!P32,'03'!P32,'04'!P32,'05'!P32,'06'!P32,'07'!P32,'08'!P32,'09'!P32,'10'!P32,'11'!P32,'12'!P32,'14'!P32,'15'!P32,'63'!P32,'17'!P32,'18'!P32,'19'!P32,'20'!P32,'21'!P32,'62'!P32)</f>
        <v>30318</v>
      </c>
      <c r="G34" s="293">
        <f>SUM('01'!Q32,'02'!Q32,'03'!Q32,'04'!Q32,'05'!Q32,'06'!Q32,'07'!Q32,'08'!Q32,'09'!Q32,'10'!Q32,'11'!Q32,'12'!Q32,'14'!Q32,'15'!Q32,'63'!Q32,'17'!Q32,'18'!Q32,'19'!Q32,'20'!Q32,'21'!Q32,'62'!Q32)</f>
        <v>25206</v>
      </c>
      <c r="H34" s="283">
        <f>SUM(G34/F34)*100</f>
        <v>83.138729467642975</v>
      </c>
    </row>
    <row r="35" spans="2:8" x14ac:dyDescent="0.2">
      <c r="B35" s="244" t="s">
        <v>413</v>
      </c>
      <c r="C35" s="282" t="s">
        <v>49</v>
      </c>
      <c r="D35" s="255">
        <f>SUM('01'!N33,'02'!N33,'03'!N33,'04'!N33,'05'!N33,'06'!N33,'07'!N33,'08'!N33,'09'!N33,'10'!N33,'11'!N33,'12'!N33,'14'!N33,'15'!N33,'63'!N33,'17'!N33,'18'!N33,'19'!N33,'20'!N33,'21'!N33,'62'!N33)</f>
        <v>20130</v>
      </c>
      <c r="E35" s="46">
        <f>SUM('01'!O33,'02'!O33,'03'!O33,'04'!O33,'05'!O33,'06'!O33,'07'!O33,'08'!O33,'09'!O33,'10'!O33,'11'!O33,'12'!O33,'14'!O33,'15'!O33,'63'!O33,'17'!O33,'18'!O33,'19'!O33,'20'!O33,'21'!O33,'62'!O33)</f>
        <v>0</v>
      </c>
      <c r="F35" s="46">
        <f>SUM('01'!P33,'02'!P33,'03'!P33,'04'!P33,'05'!P33,'06'!P33,'07'!P33,'08'!P33,'09'!P33,'10'!P33,'11'!P33,'12'!P33,'14'!P33,'15'!P33,'63'!P33,'17'!P33,'18'!P33,'19'!P33,'20'!P33,'21'!P33,'62'!P33)</f>
        <v>0</v>
      </c>
      <c r="G35" s="46">
        <f>SUM('01'!Q33,'02'!Q33,'03'!Q33,'04'!Q33,'05'!Q33,'06'!Q33,'07'!Q33,'08'!Q33,'09'!Q33,'10'!Q33,'11'!Q33,'12'!Q33,'14'!Q33,'15'!Q33,'63'!Q33,'17'!Q33,'18'!Q33,'19'!Q33,'20'!Q33,'21'!Q33,'62'!Q33)</f>
        <v>0</v>
      </c>
      <c r="H35" s="94"/>
    </row>
    <row r="36" spans="2:8" x14ac:dyDescent="0.2">
      <c r="B36" s="244" t="s">
        <v>414</v>
      </c>
      <c r="C36" s="265" t="s">
        <v>50</v>
      </c>
      <c r="D36" s="255">
        <f>SUM('01'!N34,'02'!N34,'03'!N34,'04'!N34,'05'!N34,'06'!N34,'07'!N34,'08'!N34,'09'!N34,'10'!N34,'11'!N34,'12'!N34,'14'!N34,'15'!N34,'63'!N34,'17'!N34,'18'!N34,'19'!N34,'20'!N34,'21'!N34,'62'!N34)</f>
        <v>1610</v>
      </c>
      <c r="E36" s="46">
        <f>SUM('01'!O34,'02'!O34,'03'!O34,'04'!O34,'05'!O34,'06'!O34,'07'!O34,'08'!O34,'09'!O34,'10'!O34,'11'!O34,'12'!O34,'14'!O34,'15'!O34,'63'!O34,'17'!O34,'18'!O34,'19'!O34,'20'!O34,'21'!O34,'62'!O34)</f>
        <v>0</v>
      </c>
      <c r="F36" s="46">
        <f>SUM('01'!P34,'02'!P34,'03'!P34,'04'!P34,'05'!P34,'06'!P34,'07'!P34,'08'!P34,'09'!P34,'10'!P34,'11'!P34,'12'!P34,'14'!P34,'15'!P34,'63'!P34,'17'!P34,'18'!P34,'19'!P34,'20'!P34,'21'!P34,'62'!P34)</f>
        <v>0</v>
      </c>
      <c r="G36" s="46">
        <f>SUM('01'!Q34,'02'!Q34,'03'!Q34,'04'!Q34,'05'!Q34,'06'!Q34,'07'!Q34,'08'!Q34,'09'!Q34,'10'!Q34,'11'!Q34,'12'!Q34,'14'!Q34,'15'!Q34,'63'!Q34,'17'!Q34,'18'!Q34,'19'!Q34,'20'!Q34,'21'!Q34,'62'!Q34)</f>
        <v>0</v>
      </c>
      <c r="H36" s="44"/>
    </row>
    <row r="38" spans="2:8" x14ac:dyDescent="0.2">
      <c r="B38" s="287" t="s">
        <v>281</v>
      </c>
      <c r="C38" s="246"/>
      <c r="D38" s="288">
        <f>SUM(D5:D8,D23,D25)</f>
        <v>242570.32265999995</v>
      </c>
      <c r="E38" s="247">
        <f>SUM(E5:E8,E23,E25)</f>
        <v>16096</v>
      </c>
      <c r="F38" s="247">
        <f>SUM(F5:F8,F23,F25)</f>
        <v>13476</v>
      </c>
      <c r="G38" s="247">
        <f>SUM(G5:G8,G23,G25)</f>
        <v>11613</v>
      </c>
      <c r="H38" s="292">
        <f>SUM(D38)/G38*1000</f>
        <v>20887.82594161715</v>
      </c>
    </row>
    <row r="39" spans="2:8" x14ac:dyDescent="0.2">
      <c r="B39" s="547" t="s">
        <v>281</v>
      </c>
      <c r="C39" s="244"/>
      <c r="D39" s="285">
        <f>SUM('01'!N35,'02'!N35,'03'!N35,'04'!N35,'05'!N35,'06'!N35,'07'!N35,'08'!N35,'09'!N35,'10'!N35,'11'!N35,'12'!N35,'14'!N35,'15'!N35,'63'!N35,'17'!N35,'18'!N35,'19'!N35,'20'!N35,'21'!N35,'62'!N35)</f>
        <v>242570322.65999997</v>
      </c>
      <c r="E39" s="282">
        <f>SUM('01'!O35,'02'!O35,'03'!O35,'04'!O35,'05'!O35,'06'!O35,'07'!O35,'08'!O35,'09'!O35,'10'!O35,'11'!O35,'12'!O35,'14'!O35,'15'!O35,'63'!O35,'17'!O35,'18'!O35,'19'!O35,'20'!O35,'21'!O35,'62'!O35)</f>
        <v>16096</v>
      </c>
      <c r="F39" s="282">
        <f>SUM('01'!P35,'02'!P35,'03'!P35,'04'!P35,'05'!P35,'06'!P35,'07'!P35,'08'!P35,'09'!P35,'10'!P35,'11'!P35,'12'!P35,'14'!P35,'15'!P35,'63'!P35,'17'!P35,'18'!P35,'19'!P35,'20'!P35,'21'!P35,'62'!P35)</f>
        <v>13476</v>
      </c>
      <c r="G39" s="282">
        <f>SUM('01'!Q35,'02'!Q35,'03'!Q35,'04'!Q35,'05'!Q35,'06'!Q35,'07'!Q35,'08'!Q35,'09'!Q35,'10'!Q35,'11'!Q35,'12'!Q35,'14'!Q35,'15'!Q35,'63'!Q35,'17'!Q35,'18'!Q35,'19'!Q35,'20'!Q35,'21'!Q35,'62'!Q35)</f>
        <v>11613</v>
      </c>
    </row>
    <row r="40" spans="2:8" x14ac:dyDescent="0.2">
      <c r="B40" s="246" t="s">
        <v>282</v>
      </c>
      <c r="C40" s="246"/>
      <c r="D40" s="253">
        <f>SUM(D5:D8,D17,D23,D25)</f>
        <v>252089.99021999998</v>
      </c>
      <c r="E40" s="247">
        <f>SUM(E5:E8,E17,E23,E25)</f>
        <v>16936</v>
      </c>
      <c r="F40" s="247">
        <f t="shared" ref="F40:G40" si="1">SUM(F5:F8,F17,F23,F25)</f>
        <v>14369</v>
      </c>
      <c r="G40" s="247">
        <f t="shared" si="1"/>
        <v>12352</v>
      </c>
      <c r="H40" s="292">
        <f>SUM(D40)/G40*1000</f>
        <v>20408.839881800519</v>
      </c>
    </row>
    <row r="41" spans="2:8" x14ac:dyDescent="0.2">
      <c r="B41" s="244" t="s">
        <v>282</v>
      </c>
      <c r="C41" s="282"/>
      <c r="D41" s="286">
        <f>SUM('01'!N37,'02'!N37,'03'!N37,'04'!N37,'05'!N37,'06'!N37,'07'!N37,'08'!N37,'09'!N37,'10'!N37,'11'!N37,'12'!N37,'14'!N37,'15'!N37,'63'!N37,'17'!N37,'18'!N37,'19'!N37,'20'!N37,'21'!N37,'62'!N37)/1000</f>
        <v>252089.99021999998</v>
      </c>
      <c r="E41" s="290">
        <f>SUM('01'!O37,'02'!O37,'03'!O37,'04'!O37,'05'!O37,'06'!O37,'07'!O37,'08'!O37,'09'!O37,'10'!O37,'11'!O37,'12'!O37,'14'!O37,'15'!O37,'63'!O37,'17'!O37,'18'!O37,'19'!O37,'20'!O37,'21'!O37,'62'!O37)/1000</f>
        <v>16.936</v>
      </c>
      <c r="F41" s="290">
        <f>SUM('01'!P37,'02'!P37,'03'!P37,'04'!P37,'05'!P37,'06'!P37,'07'!P37,'08'!P37,'09'!P37,'10'!P37,'11'!P37,'12'!P37,'14'!P37,'15'!P37,'63'!P37,'17'!P37,'18'!P37,'19'!P37,'20'!P37,'21'!P37,'62'!P37)/1000</f>
        <v>14.369</v>
      </c>
      <c r="G41" s="290">
        <f>SUM('01'!Q37,'02'!Q37,'03'!Q37,'04'!Q37,'05'!Q37,'06'!Q37,'07'!Q37,'08'!Q37,'09'!Q37,'10'!Q37,'11'!Q37,'12'!Q37,'14'!Q37,'15'!Q37,'63'!Q37,'17'!Q37,'18'!Q37,'19'!Q37,'20'!Q37,'21'!Q37,'62'!Q37)/1000</f>
        <v>12.352</v>
      </c>
    </row>
    <row r="42" spans="2:8" x14ac:dyDescent="0.2">
      <c r="H42" s="94">
        <f>SUM(D5)/G5*1000</f>
        <v>18392.965695890409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4ED5A-7E10-40D3-8633-A4D94693A6D5}">
  <sheetPr>
    <tabColor rgb="FFCCECFF"/>
  </sheetPr>
  <dimension ref="B1:H42"/>
  <sheetViews>
    <sheetView zoomScale="80" zoomScaleNormal="80" workbookViewId="0">
      <selection activeCell="B1" sqref="B1"/>
    </sheetView>
  </sheetViews>
  <sheetFormatPr defaultRowHeight="14.25" x14ac:dyDescent="0.2"/>
  <cols>
    <col min="1" max="1" width="2" style="44" customWidth="1"/>
    <col min="2" max="2" width="81.28515625" style="44" customWidth="1"/>
    <col min="3" max="3" width="4.28515625" style="44" customWidth="1"/>
    <col min="4" max="4" width="19.85546875" style="44" customWidth="1"/>
    <col min="5" max="5" width="23.28515625" style="44" customWidth="1"/>
    <col min="6" max="6" width="22.5703125" style="44" customWidth="1"/>
    <col min="7" max="7" width="19.5703125" style="44" customWidth="1"/>
    <col min="8" max="8" width="10.7109375" style="45" customWidth="1"/>
    <col min="9" max="9" width="13.140625" style="44" customWidth="1"/>
    <col min="10" max="16384" width="9.140625" style="44"/>
  </cols>
  <sheetData>
    <row r="1" spans="2:8" x14ac:dyDescent="0.2">
      <c r="B1" s="44" t="s">
        <v>342</v>
      </c>
      <c r="H1" s="44"/>
    </row>
    <row r="2" spans="2:8" ht="59.25" x14ac:dyDescent="0.2">
      <c r="B2" s="235" t="s">
        <v>21</v>
      </c>
      <c r="C2" s="235"/>
      <c r="D2" s="234" t="s">
        <v>446</v>
      </c>
      <c r="E2" s="235" t="s">
        <v>443</v>
      </c>
      <c r="F2" s="235" t="s">
        <v>444</v>
      </c>
      <c r="G2" s="235" t="s">
        <v>445</v>
      </c>
      <c r="H2" s="44"/>
    </row>
    <row r="3" spans="2:8" x14ac:dyDescent="0.2">
      <c r="B3" s="123">
        <v>0</v>
      </c>
      <c r="C3" s="123"/>
      <c r="D3" s="284">
        <v>1</v>
      </c>
      <c r="E3" s="123">
        <v>2</v>
      </c>
      <c r="F3" s="123">
        <v>3</v>
      </c>
      <c r="G3" s="123">
        <v>4</v>
      </c>
      <c r="H3" s="44"/>
    </row>
    <row r="4" spans="2:8" ht="14.25" customHeight="1" x14ac:dyDescent="0.2">
      <c r="B4" s="244" t="s">
        <v>395</v>
      </c>
      <c r="C4" s="236" t="s">
        <v>27</v>
      </c>
      <c r="D4" s="279">
        <v>269459.82244999998</v>
      </c>
      <c r="E4" s="238">
        <v>19342</v>
      </c>
      <c r="F4" s="238">
        <v>17179</v>
      </c>
      <c r="G4" s="238">
        <v>14567</v>
      </c>
      <c r="H4" s="94">
        <v>84.79538972000698</v>
      </c>
    </row>
    <row r="5" spans="2:8" x14ac:dyDescent="0.2">
      <c r="B5" s="276" t="s">
        <v>396</v>
      </c>
      <c r="C5" s="272" t="s">
        <v>28</v>
      </c>
      <c r="D5" s="278">
        <v>63422.597880000001</v>
      </c>
      <c r="E5" s="273">
        <v>6149</v>
      </c>
      <c r="F5" s="273">
        <v>4744</v>
      </c>
      <c r="G5" s="273">
        <v>3947</v>
      </c>
      <c r="H5" s="274">
        <v>83.199831365935921</v>
      </c>
    </row>
    <row r="6" spans="2:8" x14ac:dyDescent="0.2">
      <c r="B6" s="276" t="s">
        <v>397</v>
      </c>
      <c r="C6" s="272" t="s">
        <v>29</v>
      </c>
      <c r="D6" s="278">
        <v>6984.9395700000023</v>
      </c>
      <c r="E6" s="273">
        <v>1597</v>
      </c>
      <c r="F6" s="273">
        <v>1284</v>
      </c>
      <c r="G6" s="273">
        <v>729</v>
      </c>
      <c r="H6" s="274">
        <v>56.77570093457944</v>
      </c>
    </row>
    <row r="7" spans="2:8" x14ac:dyDescent="0.2">
      <c r="B7" s="276" t="s">
        <v>399</v>
      </c>
      <c r="C7" s="272" t="s">
        <v>30</v>
      </c>
      <c r="D7" s="278">
        <v>29841.221140000001</v>
      </c>
      <c r="E7" s="273">
        <v>4229</v>
      </c>
      <c r="F7" s="273">
        <v>3080</v>
      </c>
      <c r="G7" s="273">
        <v>2874</v>
      </c>
      <c r="H7" s="274">
        <v>93.311688311688314</v>
      </c>
    </row>
    <row r="8" spans="2:8" ht="14.25" customHeight="1" x14ac:dyDescent="0.2">
      <c r="B8" s="276" t="s">
        <v>398</v>
      </c>
      <c r="C8" s="272" t="s">
        <v>31</v>
      </c>
      <c r="D8" s="278">
        <v>29865.348730000005</v>
      </c>
      <c r="E8" s="273">
        <v>1832</v>
      </c>
      <c r="F8" s="273">
        <v>1629</v>
      </c>
      <c r="G8" s="273">
        <v>1552</v>
      </c>
      <c r="H8" s="274">
        <v>95.273173726212406</v>
      </c>
    </row>
    <row r="9" spans="2:8" ht="14.25" customHeight="1" x14ac:dyDescent="0.2">
      <c r="B9" s="276" t="s">
        <v>400</v>
      </c>
      <c r="C9" s="272" t="s">
        <v>32</v>
      </c>
      <c r="D9" s="278">
        <v>894.74200999999994</v>
      </c>
      <c r="E9" s="273">
        <v>552</v>
      </c>
      <c r="F9" s="273">
        <v>446</v>
      </c>
      <c r="G9" s="273">
        <v>50</v>
      </c>
      <c r="H9" s="274">
        <v>11.210762331838566</v>
      </c>
    </row>
    <row r="10" spans="2:8" ht="14.25" customHeight="1" x14ac:dyDescent="0.2">
      <c r="B10" s="244" t="s">
        <v>401</v>
      </c>
      <c r="C10" s="236" t="s">
        <v>33</v>
      </c>
      <c r="D10" s="279">
        <v>10.65372</v>
      </c>
      <c r="E10" s="238">
        <v>18</v>
      </c>
      <c r="F10" s="238">
        <v>17</v>
      </c>
      <c r="G10" s="238">
        <v>0</v>
      </c>
      <c r="H10" s="94"/>
    </row>
    <row r="11" spans="2:8" ht="14.25" customHeight="1" x14ac:dyDescent="0.2">
      <c r="B11" s="244" t="s">
        <v>6</v>
      </c>
      <c r="C11" s="236" t="s">
        <v>34</v>
      </c>
      <c r="D11" s="279">
        <v>78.657820000000001</v>
      </c>
      <c r="E11" s="238">
        <v>11</v>
      </c>
      <c r="F11" s="238">
        <v>4</v>
      </c>
      <c r="G11" s="238">
        <v>1</v>
      </c>
      <c r="H11" s="94"/>
    </row>
    <row r="12" spans="2:8" ht="14.25" customHeight="1" x14ac:dyDescent="0.2">
      <c r="B12" s="244" t="s">
        <v>402</v>
      </c>
      <c r="C12" s="236" t="s">
        <v>35</v>
      </c>
      <c r="D12" s="279">
        <v>0</v>
      </c>
      <c r="E12" s="238">
        <v>0</v>
      </c>
      <c r="F12" s="238">
        <v>0</v>
      </c>
      <c r="G12" s="238">
        <v>0</v>
      </c>
      <c r="H12" s="94"/>
    </row>
    <row r="13" spans="2:8" x14ac:dyDescent="0.2">
      <c r="B13" s="244" t="s">
        <v>8</v>
      </c>
      <c r="C13" s="236" t="s">
        <v>36</v>
      </c>
      <c r="D13" s="279">
        <v>0</v>
      </c>
      <c r="E13" s="238">
        <v>0</v>
      </c>
      <c r="F13" s="238">
        <v>0</v>
      </c>
      <c r="G13" s="238">
        <v>0</v>
      </c>
      <c r="H13" s="94"/>
    </row>
    <row r="14" spans="2:8" ht="14.25" customHeight="1" x14ac:dyDescent="0.2">
      <c r="B14" s="244" t="s">
        <v>403</v>
      </c>
      <c r="C14" s="236" t="s">
        <v>37</v>
      </c>
      <c r="D14" s="279">
        <v>11.842219999999999</v>
      </c>
      <c r="E14" s="238">
        <v>2</v>
      </c>
      <c r="F14" s="238">
        <v>3</v>
      </c>
      <c r="G14" s="238">
        <v>1</v>
      </c>
      <c r="H14" s="94"/>
    </row>
    <row r="15" spans="2:8" ht="14.25" customHeight="1" x14ac:dyDescent="0.2">
      <c r="B15" s="276" t="s">
        <v>9</v>
      </c>
      <c r="C15" s="272" t="s">
        <v>26</v>
      </c>
      <c r="D15" s="278">
        <v>899.79595999999992</v>
      </c>
      <c r="E15" s="273">
        <v>226</v>
      </c>
      <c r="F15" s="273">
        <v>170</v>
      </c>
      <c r="G15" s="273">
        <v>67</v>
      </c>
      <c r="H15" s="274">
        <v>39.411764705882355</v>
      </c>
    </row>
    <row r="16" spans="2:8" x14ac:dyDescent="0.2">
      <c r="B16" s="244" t="s">
        <v>404</v>
      </c>
      <c r="C16" s="236" t="s">
        <v>38</v>
      </c>
      <c r="D16" s="279">
        <v>586.22978000000001</v>
      </c>
      <c r="E16" s="238">
        <v>76</v>
      </c>
      <c r="F16" s="238">
        <v>60</v>
      </c>
      <c r="G16" s="238">
        <v>51</v>
      </c>
      <c r="H16" s="94"/>
    </row>
    <row r="17" spans="2:8" x14ac:dyDescent="0.2">
      <c r="B17" s="276" t="s">
        <v>11</v>
      </c>
      <c r="C17" s="272" t="s">
        <v>39</v>
      </c>
      <c r="D17" s="278">
        <v>10365.363069999999</v>
      </c>
      <c r="E17" s="273">
        <v>920</v>
      </c>
      <c r="F17" s="273">
        <v>1141</v>
      </c>
      <c r="G17" s="273">
        <v>1055</v>
      </c>
      <c r="H17" s="274">
        <v>92.462751971954432</v>
      </c>
    </row>
    <row r="18" spans="2:8" ht="14.25" customHeight="1" x14ac:dyDescent="0.2">
      <c r="B18" s="276" t="s">
        <v>405</v>
      </c>
      <c r="C18" s="272" t="s">
        <v>40</v>
      </c>
      <c r="D18" s="278">
        <v>2063.1457599999999</v>
      </c>
      <c r="E18" s="273">
        <v>202</v>
      </c>
      <c r="F18" s="273">
        <v>88</v>
      </c>
      <c r="G18" s="273">
        <v>72</v>
      </c>
      <c r="H18" s="274">
        <v>81.818181818181827</v>
      </c>
    </row>
    <row r="19" spans="2:8" x14ac:dyDescent="0.2">
      <c r="B19" s="244" t="s">
        <v>406</v>
      </c>
      <c r="C19" s="236" t="s">
        <v>41</v>
      </c>
      <c r="D19" s="279">
        <v>0</v>
      </c>
      <c r="E19" s="238">
        <v>0</v>
      </c>
      <c r="F19" s="238">
        <v>0</v>
      </c>
      <c r="G19" s="238">
        <v>0</v>
      </c>
      <c r="H19" s="94"/>
    </row>
    <row r="20" spans="2:8" ht="14.25" customHeight="1" x14ac:dyDescent="0.2">
      <c r="B20" s="276" t="s">
        <v>376</v>
      </c>
      <c r="C20" s="272" t="s">
        <v>42</v>
      </c>
      <c r="D20" s="278">
        <v>243.84186000000003</v>
      </c>
      <c r="E20" s="273">
        <v>44</v>
      </c>
      <c r="F20" s="273">
        <v>36</v>
      </c>
      <c r="G20" s="273">
        <v>19</v>
      </c>
      <c r="H20" s="274">
        <v>52.777777777777779</v>
      </c>
    </row>
    <row r="21" spans="2:8" x14ac:dyDescent="0.2">
      <c r="B21" s="276" t="s">
        <v>377</v>
      </c>
      <c r="C21" s="272" t="s">
        <v>43</v>
      </c>
      <c r="D21" s="278">
        <v>650.80800999999997</v>
      </c>
      <c r="E21" s="273">
        <v>125</v>
      </c>
      <c r="F21" s="273">
        <v>93</v>
      </c>
      <c r="G21" s="273">
        <v>21</v>
      </c>
      <c r="H21" s="274">
        <v>22.58064516129032</v>
      </c>
    </row>
    <row r="22" spans="2:8" ht="14.25" customHeight="1" x14ac:dyDescent="0.2">
      <c r="B22" s="244" t="s">
        <v>15</v>
      </c>
      <c r="C22" s="236" t="s">
        <v>44</v>
      </c>
      <c r="D22" s="279">
        <v>0</v>
      </c>
      <c r="E22" s="238">
        <v>0</v>
      </c>
      <c r="F22" s="238">
        <v>0</v>
      </c>
      <c r="G22" s="238">
        <v>0</v>
      </c>
      <c r="H22" s="94"/>
    </row>
    <row r="23" spans="2:8" ht="15.75" customHeight="1" x14ac:dyDescent="0.2">
      <c r="B23" s="276" t="s">
        <v>16</v>
      </c>
      <c r="C23" s="272" t="s">
        <v>45</v>
      </c>
      <c r="D23" s="278">
        <v>67173.105859999996</v>
      </c>
      <c r="E23" s="273">
        <v>1881</v>
      </c>
      <c r="F23" s="273">
        <v>2316</v>
      </c>
      <c r="G23" s="273">
        <v>2225</v>
      </c>
      <c r="H23" s="274">
        <v>96.070811744386873</v>
      </c>
    </row>
    <row r="24" spans="2:8" ht="14.25" customHeight="1" x14ac:dyDescent="0.2">
      <c r="B24" s="244" t="s">
        <v>407</v>
      </c>
      <c r="C24" s="236" t="s">
        <v>46</v>
      </c>
      <c r="D24" s="279">
        <v>0</v>
      </c>
      <c r="E24" s="238">
        <v>0</v>
      </c>
      <c r="F24" s="238">
        <v>0</v>
      </c>
      <c r="G24" s="238">
        <v>0</v>
      </c>
      <c r="H24" s="94"/>
    </row>
    <row r="25" spans="2:8" x14ac:dyDescent="0.2">
      <c r="B25" s="276" t="s">
        <v>17</v>
      </c>
      <c r="C25" s="272" t="s">
        <v>47</v>
      </c>
      <c r="D25" s="278">
        <v>54417.095179999989</v>
      </c>
      <c r="E25" s="273">
        <v>1378</v>
      </c>
      <c r="F25" s="273">
        <v>2005</v>
      </c>
      <c r="G25" s="273">
        <v>1849</v>
      </c>
      <c r="H25" s="274">
        <v>92.219451371571068</v>
      </c>
    </row>
    <row r="26" spans="2:8" ht="14.25" customHeight="1" x14ac:dyDescent="0.2">
      <c r="B26" s="244" t="s">
        <v>407</v>
      </c>
      <c r="C26" s="236" t="s">
        <v>48</v>
      </c>
      <c r="D26" s="279">
        <v>0</v>
      </c>
      <c r="E26" s="238">
        <v>0</v>
      </c>
      <c r="F26" s="238">
        <v>0</v>
      </c>
      <c r="G26" s="238">
        <v>0</v>
      </c>
      <c r="H26" s="94"/>
    </row>
    <row r="27" spans="2:8" x14ac:dyDescent="0.2">
      <c r="B27" s="244" t="s">
        <v>18</v>
      </c>
      <c r="C27" s="236" t="s">
        <v>319</v>
      </c>
      <c r="D27" s="279">
        <v>0</v>
      </c>
      <c r="E27" s="238">
        <v>0</v>
      </c>
      <c r="F27" s="238">
        <v>0</v>
      </c>
      <c r="G27" s="238">
        <v>0</v>
      </c>
      <c r="H27" s="94"/>
    </row>
    <row r="28" spans="2:8" x14ac:dyDescent="0.2">
      <c r="B28" s="276" t="s">
        <v>358</v>
      </c>
      <c r="C28" s="272" t="s">
        <v>320</v>
      </c>
      <c r="D28" s="278">
        <v>12.574999999999999</v>
      </c>
      <c r="E28" s="273">
        <v>3</v>
      </c>
      <c r="F28" s="273">
        <v>2</v>
      </c>
      <c r="G28" s="273">
        <v>0</v>
      </c>
      <c r="H28" s="274">
        <v>0</v>
      </c>
    </row>
    <row r="29" spans="2:8" x14ac:dyDescent="0.2">
      <c r="B29" s="275" t="s">
        <v>408</v>
      </c>
      <c r="C29" s="272" t="s">
        <v>321</v>
      </c>
      <c r="D29" s="278">
        <v>1937.8588800000002</v>
      </c>
      <c r="E29" s="273">
        <v>97</v>
      </c>
      <c r="F29" s="273">
        <v>60</v>
      </c>
      <c r="G29" s="273">
        <v>53</v>
      </c>
      <c r="H29" s="274">
        <v>88.333333333333329</v>
      </c>
    </row>
    <row r="30" spans="2:8" x14ac:dyDescent="0.2">
      <c r="B30" s="244" t="s">
        <v>215</v>
      </c>
      <c r="C30" s="236" t="s">
        <v>322</v>
      </c>
      <c r="D30" s="279">
        <v>0</v>
      </c>
      <c r="E30" s="238">
        <v>0</v>
      </c>
      <c r="F30" s="238">
        <v>0</v>
      </c>
      <c r="G30" s="238">
        <v>0</v>
      </c>
      <c r="H30" s="94"/>
    </row>
    <row r="31" spans="2:8" x14ac:dyDescent="0.2">
      <c r="B31" s="244" t="s">
        <v>409</v>
      </c>
      <c r="C31" s="265" t="s">
        <v>391</v>
      </c>
      <c r="D31" s="127">
        <v>0</v>
      </c>
      <c r="E31" s="46">
        <v>0</v>
      </c>
      <c r="F31" s="46">
        <v>0</v>
      </c>
      <c r="G31" s="46">
        <v>0</v>
      </c>
    </row>
    <row r="32" spans="2:8" x14ac:dyDescent="0.2">
      <c r="B32" s="244" t="s">
        <v>410</v>
      </c>
      <c r="C32" s="265" t="s">
        <v>392</v>
      </c>
      <c r="D32" s="125">
        <v>0</v>
      </c>
      <c r="E32" s="46">
        <v>0</v>
      </c>
      <c r="F32" s="46">
        <v>1</v>
      </c>
      <c r="G32" s="46">
        <v>1</v>
      </c>
      <c r="H32" s="94"/>
    </row>
    <row r="33" spans="2:8" x14ac:dyDescent="0.2">
      <c r="B33" s="244" t="s">
        <v>411</v>
      </c>
      <c r="C33" s="265" t="s">
        <v>393</v>
      </c>
      <c r="D33" s="125">
        <v>251704.30836</v>
      </c>
      <c r="E33" s="46">
        <v>0</v>
      </c>
      <c r="F33" s="46">
        <v>0</v>
      </c>
      <c r="G33" s="46">
        <v>0</v>
      </c>
      <c r="H33" s="94"/>
    </row>
    <row r="34" spans="2:8" x14ac:dyDescent="0.2">
      <c r="B34" s="281" t="s">
        <v>412</v>
      </c>
      <c r="C34" s="280" t="s">
        <v>394</v>
      </c>
      <c r="D34" s="289">
        <v>538919.64489999996</v>
      </c>
      <c r="E34" s="293">
        <v>38684</v>
      </c>
      <c r="F34" s="293">
        <v>34358</v>
      </c>
      <c r="G34" s="293">
        <v>29134</v>
      </c>
      <c r="H34" s="283">
        <v>84.79538972000698</v>
      </c>
    </row>
    <row r="35" spans="2:8" x14ac:dyDescent="0.2">
      <c r="B35" s="244" t="s">
        <v>413</v>
      </c>
      <c r="C35" s="282" t="s">
        <v>49</v>
      </c>
      <c r="D35" s="255">
        <v>24190</v>
      </c>
      <c r="E35" s="46">
        <v>0</v>
      </c>
      <c r="F35" s="46">
        <v>0</v>
      </c>
      <c r="G35" s="46">
        <v>0</v>
      </c>
      <c r="H35" s="94"/>
    </row>
    <row r="36" spans="2:8" x14ac:dyDescent="0.2">
      <c r="B36" s="244" t="s">
        <v>414</v>
      </c>
      <c r="C36" s="265" t="s">
        <v>50</v>
      </c>
      <c r="D36" s="255">
        <v>1700</v>
      </c>
      <c r="E36" s="46">
        <v>0</v>
      </c>
      <c r="F36" s="46">
        <v>0</v>
      </c>
      <c r="G36" s="46">
        <v>0</v>
      </c>
      <c r="H36" s="44"/>
    </row>
    <row r="38" spans="2:8" x14ac:dyDescent="0.2">
      <c r="B38" s="287" t="s">
        <v>281</v>
      </c>
      <c r="C38" s="246"/>
      <c r="D38" s="288">
        <v>251704.30836000002</v>
      </c>
      <c r="E38" s="247">
        <v>17066</v>
      </c>
      <c r="F38" s="247">
        <v>15058</v>
      </c>
      <c r="G38" s="247">
        <v>13176</v>
      </c>
      <c r="H38" s="292">
        <v>19103.241375227688</v>
      </c>
    </row>
    <row r="39" spans="2:8" x14ac:dyDescent="0.2">
      <c r="B39" s="277" t="s">
        <v>281</v>
      </c>
      <c r="C39" s="244"/>
      <c r="D39" s="285">
        <v>251704308.35999998</v>
      </c>
      <c r="E39" s="282">
        <v>17066</v>
      </c>
      <c r="F39" s="282">
        <v>15058</v>
      </c>
      <c r="G39" s="282">
        <v>13176</v>
      </c>
    </row>
    <row r="40" spans="2:8" x14ac:dyDescent="0.2">
      <c r="B40" s="246" t="s">
        <v>282</v>
      </c>
      <c r="C40" s="246"/>
      <c r="D40" s="253">
        <v>262069.67142999999</v>
      </c>
      <c r="E40" s="247">
        <v>17986</v>
      </c>
      <c r="F40" s="247">
        <v>16199</v>
      </c>
      <c r="G40" s="247">
        <v>14231</v>
      </c>
      <c r="H40" s="292">
        <v>18415.408012788979</v>
      </c>
    </row>
    <row r="41" spans="2:8" x14ac:dyDescent="0.2">
      <c r="B41" s="244" t="s">
        <v>282</v>
      </c>
      <c r="C41" s="282"/>
      <c r="D41" s="286">
        <v>262069.67142999999</v>
      </c>
      <c r="E41" s="290">
        <v>17.986000000000001</v>
      </c>
      <c r="F41" s="290">
        <v>16.199000000000002</v>
      </c>
      <c r="G41" s="290">
        <v>14.231</v>
      </c>
    </row>
    <row r="42" spans="2:8" x14ac:dyDescent="0.2">
      <c r="H42" s="94">
        <v>16068.557861667088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23329-8D9A-43D7-9B57-CF2D735D38DF}">
  <sheetPr>
    <tabColor theme="0"/>
    <pageSetUpPr fitToPage="1"/>
  </sheetPr>
  <dimension ref="B1:U39"/>
  <sheetViews>
    <sheetView zoomScale="80" zoomScaleNormal="80" workbookViewId="0">
      <selection activeCell="B1" sqref="B1"/>
    </sheetView>
  </sheetViews>
  <sheetFormatPr defaultRowHeight="14.25" x14ac:dyDescent="0.2"/>
  <cols>
    <col min="1" max="1" width="1.7109375" style="44" customWidth="1"/>
    <col min="2" max="2" width="5.5703125" style="44" customWidth="1"/>
    <col min="3" max="3" width="66.85546875" style="44" customWidth="1"/>
    <col min="4" max="4" width="10.85546875" style="44" customWidth="1"/>
    <col min="5" max="5" width="10.42578125" style="44" customWidth="1"/>
    <col min="6" max="6" width="10.140625" style="44" customWidth="1"/>
    <col min="7" max="7" width="14.7109375" style="44" customWidth="1"/>
    <col min="8" max="8" width="14.42578125" style="44" customWidth="1"/>
    <col min="9" max="9" width="12.42578125" style="44" customWidth="1"/>
    <col min="10" max="10" width="15.140625" style="44" customWidth="1"/>
    <col min="11" max="11" width="12.7109375" style="44" customWidth="1"/>
    <col min="12" max="12" width="3.28515625" style="44" customWidth="1"/>
    <col min="13" max="13" width="8" style="44" customWidth="1"/>
    <col min="14" max="14" width="7.7109375" style="44" customWidth="1"/>
    <col min="15" max="15" width="3.28515625" style="44" customWidth="1"/>
    <col min="16" max="16" width="10.7109375" style="44" customWidth="1"/>
    <col min="17" max="17" width="10.42578125" style="44" customWidth="1"/>
    <col min="18" max="18" width="14.28515625" style="44" customWidth="1"/>
    <col min="19" max="19" width="9.85546875" style="44" customWidth="1"/>
    <col min="20" max="20" width="8.7109375" style="44" customWidth="1"/>
    <col min="21" max="21" width="9.28515625" style="44" customWidth="1"/>
    <col min="22" max="16384" width="9.140625" style="44"/>
  </cols>
  <sheetData>
    <row r="1" spans="2:21" x14ac:dyDescent="0.2">
      <c r="B1" s="96" t="s">
        <v>318</v>
      </c>
      <c r="D1" s="45"/>
      <c r="E1" s="45"/>
      <c r="F1" s="45"/>
      <c r="G1" s="382" t="s">
        <v>250</v>
      </c>
      <c r="H1" s="383" t="s">
        <v>248</v>
      </c>
      <c r="I1" s="45"/>
      <c r="J1" s="45"/>
      <c r="K1" s="45"/>
    </row>
    <row r="2" spans="2:21" x14ac:dyDescent="0.2">
      <c r="B2" s="363"/>
      <c r="C2" s="766" t="s">
        <v>296</v>
      </c>
      <c r="D2" s="358"/>
      <c r="E2" s="358"/>
      <c r="F2" s="358"/>
      <c r="G2" s="359"/>
      <c r="H2" s="396"/>
      <c r="I2" s="358"/>
      <c r="J2" s="358"/>
      <c r="K2" s="359"/>
    </row>
    <row r="3" spans="2:21" ht="66" customHeight="1" x14ac:dyDescent="0.2">
      <c r="B3" s="356"/>
      <c r="C3" s="767"/>
      <c r="D3" s="357" t="s">
        <v>102</v>
      </c>
      <c r="E3" s="357" t="s">
        <v>103</v>
      </c>
      <c r="F3" s="357" t="s">
        <v>104</v>
      </c>
      <c r="G3" s="366" t="s">
        <v>105</v>
      </c>
      <c r="H3" s="397" t="s">
        <v>227</v>
      </c>
      <c r="I3" s="357" t="s">
        <v>158</v>
      </c>
      <c r="J3" s="384" t="s">
        <v>177</v>
      </c>
      <c r="K3" s="360" t="s">
        <v>176</v>
      </c>
    </row>
    <row r="4" spans="2:21" ht="36" x14ac:dyDescent="0.2">
      <c r="B4" s="364" t="s">
        <v>100</v>
      </c>
      <c r="C4" s="767"/>
      <c r="D4" s="357"/>
      <c r="E4" s="357"/>
      <c r="F4" s="357"/>
      <c r="G4" s="360" t="s">
        <v>226</v>
      </c>
      <c r="H4" s="397" t="s">
        <v>315</v>
      </c>
      <c r="I4" s="357"/>
      <c r="J4" s="364"/>
      <c r="K4" s="357" t="s">
        <v>315</v>
      </c>
    </row>
    <row r="5" spans="2:21" x14ac:dyDescent="0.2">
      <c r="B5" s="365"/>
      <c r="C5" s="768"/>
      <c r="D5" s="361"/>
      <c r="E5" s="361"/>
      <c r="F5" s="361"/>
      <c r="G5" s="362"/>
      <c r="H5" s="398"/>
      <c r="I5" s="361"/>
      <c r="J5" s="361"/>
      <c r="K5" s="362"/>
      <c r="M5" s="60"/>
      <c r="N5" s="60"/>
      <c r="O5" s="61"/>
      <c r="P5" s="60"/>
      <c r="Q5" s="60"/>
      <c r="R5" s="61"/>
      <c r="S5" s="60"/>
      <c r="T5" s="60"/>
      <c r="U5" s="61"/>
    </row>
    <row r="6" spans="2:21" x14ac:dyDescent="0.2">
      <c r="B6" s="371">
        <v>1</v>
      </c>
      <c r="C6" s="393" t="s">
        <v>2</v>
      </c>
      <c r="D6" s="51">
        <f>SUM('z22'!F6)</f>
        <v>1845</v>
      </c>
      <c r="E6" s="51">
        <f>SUM('z22'!G6)</f>
        <v>1501</v>
      </c>
      <c r="F6" s="51">
        <f>SUM('z22'!H6)</f>
        <v>781</v>
      </c>
      <c r="G6" s="370">
        <f>SUM(F6/E6)*100</f>
        <v>52.031978680879412</v>
      </c>
      <c r="H6" s="399">
        <f>SUM(J6/F6)</f>
        <v>7250.3362483994897</v>
      </c>
      <c r="I6" s="400">
        <f>SUM('z22'!E6)</f>
        <v>5662.5126100000016</v>
      </c>
      <c r="J6" s="51">
        <f t="shared" ref="J6:J14" si="0">SUM(I6*1000)</f>
        <v>5662512.6100000013</v>
      </c>
      <c r="K6" s="370">
        <f>SUM(J6/D6)</f>
        <v>3069.1125257452582</v>
      </c>
      <c r="M6" s="80"/>
      <c r="N6" s="80"/>
      <c r="O6" s="61"/>
      <c r="P6" s="81"/>
      <c r="Q6" s="60"/>
      <c r="R6" s="60"/>
      <c r="S6" s="62"/>
      <c r="T6" s="62"/>
      <c r="U6" s="62"/>
    </row>
    <row r="7" spans="2:21" x14ac:dyDescent="0.2">
      <c r="B7" s="125">
        <v>2</v>
      </c>
      <c r="C7" s="394" t="s">
        <v>1</v>
      </c>
      <c r="D7" s="46">
        <f>SUM('z22'!F5)</f>
        <v>10657</v>
      </c>
      <c r="E7" s="46">
        <f>SUM('z22'!G5)</f>
        <v>7469</v>
      </c>
      <c r="F7" s="46">
        <f>SUM('z22'!H5)</f>
        <v>6354</v>
      </c>
      <c r="G7" s="326">
        <f>SUM(F7/E7)*100</f>
        <v>85.071629401526309</v>
      </c>
      <c r="H7" s="347">
        <f>SUM(J7/F7)</f>
        <v>13014.846298394712</v>
      </c>
      <c r="I7" s="127">
        <f>SUM('z22'!E5)</f>
        <v>82696.333379999996</v>
      </c>
      <c r="J7" s="46">
        <f t="shared" si="0"/>
        <v>82696333.379999995</v>
      </c>
      <c r="K7" s="326">
        <f>SUM(J7/D7)</f>
        <v>7759.813585436802</v>
      </c>
      <c r="M7" s="80"/>
      <c r="N7" s="60"/>
      <c r="O7" s="61"/>
      <c r="P7" s="81"/>
      <c r="Q7" s="60"/>
      <c r="R7" s="60"/>
      <c r="S7" s="62"/>
      <c r="T7" s="62"/>
      <c r="U7" s="62"/>
    </row>
    <row r="8" spans="2:21" x14ac:dyDescent="0.2">
      <c r="B8" s="125">
        <v>3</v>
      </c>
      <c r="C8" s="394" t="s">
        <v>3</v>
      </c>
      <c r="D8" s="46">
        <f>SUM('z22'!F7)</f>
        <v>5180</v>
      </c>
      <c r="E8" s="46">
        <f>SUM('z22'!G7)</f>
        <v>3613</v>
      </c>
      <c r="F8" s="46">
        <f>SUM('z22'!H7)</f>
        <v>3373</v>
      </c>
      <c r="G8" s="326">
        <f>SUM(F8/E8)*100</f>
        <v>93.357320786050366</v>
      </c>
      <c r="H8" s="347">
        <f t="shared" ref="H8:H12" si="1">SUM(J8/F8)</f>
        <v>8721.5238630299427</v>
      </c>
      <c r="I8" s="127">
        <f>SUM('z22'!E7)</f>
        <v>29417.699989999997</v>
      </c>
      <c r="J8" s="46">
        <f t="shared" si="0"/>
        <v>29417699.989999998</v>
      </c>
      <c r="K8" s="326">
        <f t="shared" ref="K8:K14" si="2">SUM(J8/D8)</f>
        <v>5679.092662162162</v>
      </c>
      <c r="M8" s="80"/>
      <c r="N8" s="60"/>
      <c r="O8" s="61"/>
      <c r="P8" s="81"/>
      <c r="Q8" s="60"/>
      <c r="R8" s="60"/>
      <c r="S8" s="62"/>
      <c r="T8" s="62"/>
      <c r="U8" s="62"/>
    </row>
    <row r="9" spans="2:21" x14ac:dyDescent="0.2">
      <c r="B9" s="125">
        <v>4</v>
      </c>
      <c r="C9" s="394" t="s">
        <v>4</v>
      </c>
      <c r="D9" s="46">
        <f>SUM('z22'!F8)</f>
        <v>2172</v>
      </c>
      <c r="E9" s="46">
        <f>SUM('z22'!G8)</f>
        <v>1891</v>
      </c>
      <c r="F9" s="46">
        <f>SUM('z22'!H8)</f>
        <v>1782</v>
      </c>
      <c r="G9" s="326">
        <f>SUM(F9/E9)*100</f>
        <v>94.23585404547859</v>
      </c>
      <c r="H9" s="347">
        <f>SUM(J9/F9)</f>
        <v>17225.128580246914</v>
      </c>
      <c r="I9" s="127">
        <f>SUM('z22'!E8)</f>
        <v>30695.17913</v>
      </c>
      <c r="J9" s="46">
        <f t="shared" si="0"/>
        <v>30695179.129999999</v>
      </c>
      <c r="K9" s="326">
        <f>SUM(J9/D9)</f>
        <v>14132.218752302026</v>
      </c>
      <c r="M9" s="80"/>
      <c r="N9" s="60"/>
      <c r="O9" s="61"/>
      <c r="P9" s="81"/>
      <c r="Q9" s="60"/>
      <c r="R9" s="60"/>
      <c r="S9" s="62"/>
      <c r="T9" s="62"/>
      <c r="U9" s="62"/>
    </row>
    <row r="10" spans="2:21" x14ac:dyDescent="0.2">
      <c r="B10" s="125">
        <v>5</v>
      </c>
      <c r="C10" s="394" t="s">
        <v>56</v>
      </c>
      <c r="D10" s="46">
        <f>SUM('z22'!F22)</f>
        <v>2383</v>
      </c>
      <c r="E10" s="46">
        <f>SUM('z22'!G22)</f>
        <v>2324</v>
      </c>
      <c r="F10" s="341">
        <f>SUM('z22'!H22)</f>
        <v>2217</v>
      </c>
      <c r="G10" s="326">
        <f>SUM(F10/E10)*100</f>
        <v>95.395869191049911</v>
      </c>
      <c r="H10" s="347">
        <f t="shared" si="1"/>
        <v>29182.742895805139</v>
      </c>
      <c r="I10" s="127">
        <f>SUM('z22'!E22)</f>
        <v>64698.140999999996</v>
      </c>
      <c r="J10" s="46">
        <f t="shared" si="0"/>
        <v>64698140.999999993</v>
      </c>
      <c r="K10" s="326">
        <f>SUM(J10/D10)</f>
        <v>27149.870331514892</v>
      </c>
      <c r="M10" s="80"/>
      <c r="N10" s="60"/>
      <c r="O10" s="61"/>
      <c r="P10" s="81"/>
      <c r="Q10" s="60"/>
      <c r="R10" s="60"/>
      <c r="S10" s="62"/>
      <c r="T10" s="62"/>
      <c r="U10" s="62"/>
    </row>
    <row r="11" spans="2:21" ht="15" customHeight="1" x14ac:dyDescent="0.2">
      <c r="B11" s="333">
        <v>6</v>
      </c>
      <c r="C11" s="395" t="s">
        <v>57</v>
      </c>
      <c r="D11" s="52">
        <f>SUM('z22'!F24)</f>
        <v>2178</v>
      </c>
      <c r="E11" s="52">
        <f>SUM('z22'!G24)</f>
        <v>1318</v>
      </c>
      <c r="F11" s="342">
        <f>SUM('z22'!H24)</f>
        <v>1190</v>
      </c>
      <c r="G11" s="329">
        <f t="shared" ref="G11:G12" si="3">SUM(F11/E11)*100</f>
        <v>90.28831562974203</v>
      </c>
      <c r="H11" s="348">
        <f>SUM(J11/F11)</f>
        <v>53083.715462184882</v>
      </c>
      <c r="I11" s="351">
        <f>SUM('z22'!E24)</f>
        <v>63169.621400000004</v>
      </c>
      <c r="J11" s="52">
        <f t="shared" si="0"/>
        <v>63169621.400000006</v>
      </c>
      <c r="K11" s="329">
        <f>SUM(J11/D11)</f>
        <v>29003.499265381088</v>
      </c>
      <c r="M11" s="80"/>
      <c r="N11" s="60"/>
      <c r="O11" s="61"/>
      <c r="P11" s="81"/>
      <c r="Q11" s="60"/>
      <c r="R11" s="60"/>
      <c r="S11" s="62"/>
      <c r="T11" s="62"/>
      <c r="U11" s="62"/>
    </row>
    <row r="12" spans="2:21" ht="15" customHeight="1" x14ac:dyDescent="0.2">
      <c r="B12" s="333">
        <v>7</v>
      </c>
      <c r="C12" s="395" t="s">
        <v>11</v>
      </c>
      <c r="D12" s="52">
        <f>SUM('z22'!F17)</f>
        <v>1132</v>
      </c>
      <c r="E12" s="52">
        <f>SUM('z22'!G17)</f>
        <v>1001</v>
      </c>
      <c r="F12" s="342">
        <f>SUM('z22'!H17)</f>
        <v>913</v>
      </c>
      <c r="G12" s="329">
        <f t="shared" si="3"/>
        <v>91.208791208791212</v>
      </c>
      <c r="H12" s="348">
        <f t="shared" si="1"/>
        <v>11216.649255202628</v>
      </c>
      <c r="I12" s="351">
        <f>SUM('z22'!E17)</f>
        <v>10240.80077</v>
      </c>
      <c r="J12" s="52">
        <f t="shared" si="0"/>
        <v>10240800.77</v>
      </c>
      <c r="K12" s="329">
        <f t="shared" si="2"/>
        <v>9046.6437897526503</v>
      </c>
      <c r="M12" s="80"/>
      <c r="N12" s="80"/>
      <c r="O12" s="61"/>
      <c r="P12" s="81"/>
      <c r="Q12" s="60"/>
      <c r="R12" s="60"/>
      <c r="S12" s="62"/>
      <c r="T12" s="62"/>
      <c r="U12" s="62"/>
    </row>
    <row r="13" spans="2:21" x14ac:dyDescent="0.2">
      <c r="B13" s="376">
        <v>8</v>
      </c>
      <c r="C13" s="401" t="s">
        <v>288</v>
      </c>
      <c r="D13" s="378">
        <f>SUM(D6:D11)</f>
        <v>24415</v>
      </c>
      <c r="E13" s="378">
        <f>SUM(E6:E11)</f>
        <v>18116</v>
      </c>
      <c r="F13" s="378">
        <f>SUM(F6:F11)</f>
        <v>15697</v>
      </c>
      <c r="G13" s="381">
        <f t="shared" ref="G13:G14" si="4">SUM(F13/E13)*100</f>
        <v>86.64716272907927</v>
      </c>
      <c r="H13" s="402">
        <f>SUM(J13/F13)</f>
        <v>17604.605179970695</v>
      </c>
      <c r="I13" s="392">
        <f>SUM(I6:I11)</f>
        <v>276339.48751000001</v>
      </c>
      <c r="J13" s="378">
        <f t="shared" si="0"/>
        <v>276339487.50999999</v>
      </c>
      <c r="K13" s="381">
        <f t="shared" si="2"/>
        <v>11318.430780667622</v>
      </c>
      <c r="M13" s="80"/>
      <c r="N13" s="80"/>
      <c r="O13" s="61"/>
      <c r="P13" s="81"/>
      <c r="Q13" s="62"/>
      <c r="R13" s="60"/>
      <c r="S13" s="62"/>
      <c r="T13" s="62"/>
      <c r="U13" s="62"/>
    </row>
    <row r="14" spans="2:21" x14ac:dyDescent="0.2">
      <c r="B14" s="375">
        <v>9</v>
      </c>
      <c r="C14" s="393" t="s">
        <v>278</v>
      </c>
      <c r="D14" s="51">
        <f>SUM(D6:D12)</f>
        <v>25547</v>
      </c>
      <c r="E14" s="51">
        <f>SUM(E6:E12)</f>
        <v>19117</v>
      </c>
      <c r="F14" s="51">
        <f>SUM(F6:F12)</f>
        <v>16610</v>
      </c>
      <c r="G14" s="370">
        <f t="shared" si="4"/>
        <v>86.886017680598414</v>
      </c>
      <c r="H14" s="399">
        <f>SUM(J14/F14)</f>
        <v>17253.479125827813</v>
      </c>
      <c r="I14" s="400">
        <f>SUM(I6:I12)</f>
        <v>286580.28827999998</v>
      </c>
      <c r="J14" s="51">
        <f t="shared" si="0"/>
        <v>286580288.27999997</v>
      </c>
      <c r="K14" s="370">
        <f t="shared" si="2"/>
        <v>11217.766793752689</v>
      </c>
      <c r="M14" s="61"/>
      <c r="N14" s="61"/>
      <c r="O14" s="61"/>
      <c r="P14" s="62"/>
      <c r="Q14" s="62"/>
      <c r="R14" s="62"/>
      <c r="S14" s="62"/>
      <c r="T14" s="62"/>
      <c r="U14" s="60"/>
    </row>
    <row r="16" spans="2:21" x14ac:dyDescent="0.2">
      <c r="D16" s="404">
        <v>71578.917000000001</v>
      </c>
      <c r="E16" s="94"/>
      <c r="I16" s="49"/>
      <c r="J16" s="48"/>
    </row>
    <row r="17" spans="4:16" x14ac:dyDescent="0.2">
      <c r="D17" s="131">
        <f>SUM(D13)/D16*100</f>
        <v>34.109205647802689</v>
      </c>
      <c r="I17" s="49"/>
      <c r="J17" s="50"/>
      <c r="M17" s="99"/>
      <c r="N17" s="100"/>
      <c r="O17" s="100"/>
      <c r="P17" s="99"/>
    </row>
    <row r="18" spans="4:16" ht="12" customHeight="1" x14ac:dyDescent="0.2">
      <c r="D18" s="132">
        <f>SUM(D6:D11)</f>
        <v>24415</v>
      </c>
      <c r="I18" s="50"/>
      <c r="J18" s="49"/>
    </row>
    <row r="19" spans="4:16" x14ac:dyDescent="0.2">
      <c r="D19" s="132">
        <f>SUM(E6:E11)</f>
        <v>18116</v>
      </c>
      <c r="G19" s="47"/>
      <c r="I19" s="50"/>
      <c r="J19" s="49"/>
    </row>
    <row r="20" spans="4:16" x14ac:dyDescent="0.2">
      <c r="D20" s="131">
        <f>SUM(D19)/D18*100</f>
        <v>74.200286708990376</v>
      </c>
      <c r="G20" s="47"/>
      <c r="I20" s="50"/>
      <c r="J20" s="55"/>
    </row>
    <row r="21" spans="4:16" ht="16.5" customHeight="1" x14ac:dyDescent="0.2">
      <c r="D21" s="131">
        <f>SUM(D7)/D13*100</f>
        <v>43.649395863198855</v>
      </c>
      <c r="G21" s="47"/>
      <c r="I21" s="50"/>
      <c r="J21" s="55"/>
    </row>
    <row r="22" spans="4:16" ht="15" customHeight="1" x14ac:dyDescent="0.2">
      <c r="F22" s="47"/>
      <c r="G22" s="47"/>
      <c r="I22" s="50"/>
      <c r="J22" s="55"/>
    </row>
    <row r="23" spans="4:16" ht="15" customHeight="1" x14ac:dyDescent="0.2">
      <c r="G23" s="47"/>
      <c r="I23" s="50"/>
      <c r="J23" s="55"/>
    </row>
    <row r="24" spans="4:16" ht="15" customHeight="1" x14ac:dyDescent="0.2">
      <c r="G24" s="47"/>
      <c r="I24" s="50"/>
    </row>
    <row r="25" spans="4:16" ht="15.75" customHeight="1" x14ac:dyDescent="0.2">
      <c r="G25" s="47"/>
    </row>
    <row r="26" spans="4:16" ht="18" customHeight="1" x14ac:dyDescent="0.2"/>
    <row r="27" spans="4:16" ht="15" customHeight="1" x14ac:dyDescent="0.2"/>
    <row r="32" spans="4:16" ht="63" customHeight="1" x14ac:dyDescent="0.2"/>
    <row r="35" ht="15" customHeight="1" x14ac:dyDescent="0.2"/>
    <row r="36" ht="18.75" customHeight="1" x14ac:dyDescent="0.2"/>
    <row r="37" ht="15.75" customHeight="1" x14ac:dyDescent="0.2"/>
    <row r="38" ht="14.25" customHeight="1" x14ac:dyDescent="0.2"/>
    <row r="39" ht="12" customHeight="1" x14ac:dyDescent="0.2"/>
  </sheetData>
  <mergeCells count="1">
    <mergeCell ref="C2:C5"/>
  </mergeCells>
  <pageMargins left="0.7" right="0.7" top="0.75" bottom="0.75" header="0.3" footer="0.3"/>
  <pageSetup paperSize="9" scale="5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97D3A-46E1-404E-9CC3-91A89184A9EA}">
  <sheetPr>
    <tabColor rgb="FFCCECFF"/>
  </sheetPr>
  <dimension ref="B1:H42"/>
  <sheetViews>
    <sheetView zoomScale="80" zoomScaleNormal="80" workbookViewId="0">
      <selection activeCell="B1" sqref="B1"/>
    </sheetView>
  </sheetViews>
  <sheetFormatPr defaultRowHeight="14.25" x14ac:dyDescent="0.2"/>
  <cols>
    <col min="1" max="1" width="2" style="44" customWidth="1"/>
    <col min="2" max="2" width="81.28515625" style="44" customWidth="1"/>
    <col min="3" max="3" width="4.28515625" style="44" customWidth="1"/>
    <col min="4" max="4" width="19.85546875" style="44" customWidth="1"/>
    <col min="5" max="5" width="23.28515625" style="44" customWidth="1"/>
    <col min="6" max="6" width="22.5703125" style="44" customWidth="1"/>
    <col min="7" max="7" width="19.5703125" style="44" customWidth="1"/>
    <col min="8" max="8" width="13.140625" style="45" customWidth="1"/>
    <col min="9" max="9" width="13.140625" style="44" customWidth="1"/>
    <col min="10" max="16384" width="9.140625" style="44"/>
  </cols>
  <sheetData>
    <row r="1" spans="2:8" x14ac:dyDescent="0.2">
      <c r="B1" s="44" t="s">
        <v>341</v>
      </c>
      <c r="H1" s="44"/>
    </row>
    <row r="2" spans="2:8" ht="59.25" x14ac:dyDescent="0.2">
      <c r="B2" s="235" t="s">
        <v>21</v>
      </c>
      <c r="C2" s="235"/>
      <c r="D2" s="234" t="s">
        <v>446</v>
      </c>
      <c r="E2" s="235" t="s">
        <v>443</v>
      </c>
      <c r="F2" s="235" t="s">
        <v>444</v>
      </c>
      <c r="G2" s="235" t="s">
        <v>445</v>
      </c>
      <c r="H2" s="44"/>
    </row>
    <row r="3" spans="2:8" x14ac:dyDescent="0.2">
      <c r="B3" s="123">
        <v>0</v>
      </c>
      <c r="C3" s="123"/>
      <c r="D3" s="284">
        <v>1</v>
      </c>
      <c r="E3" s="123">
        <v>2</v>
      </c>
      <c r="F3" s="123">
        <v>3</v>
      </c>
      <c r="G3" s="123">
        <v>4</v>
      </c>
      <c r="H3" s="44"/>
    </row>
    <row r="4" spans="2:8" ht="14.25" customHeight="1" x14ac:dyDescent="0.2">
      <c r="B4" s="244" t="s">
        <v>395</v>
      </c>
      <c r="C4" s="236" t="s">
        <v>27</v>
      </c>
      <c r="D4" s="279">
        <v>295570.52899000002</v>
      </c>
      <c r="E4" s="238">
        <v>22912</v>
      </c>
      <c r="F4" s="238">
        <v>19321</v>
      </c>
      <c r="G4" s="238">
        <v>16207</v>
      </c>
      <c r="H4" s="94">
        <v>83.882821800113859</v>
      </c>
    </row>
    <row r="5" spans="2:8" x14ac:dyDescent="0.2">
      <c r="B5" s="276" t="s">
        <v>396</v>
      </c>
      <c r="C5" s="272" t="s">
        <v>28</v>
      </c>
      <c r="D5" s="278">
        <v>75098.213940000001</v>
      </c>
      <c r="E5" s="273">
        <v>8274</v>
      </c>
      <c r="F5" s="273">
        <v>6714</v>
      </c>
      <c r="G5" s="273">
        <v>5584</v>
      </c>
      <c r="H5" s="274">
        <v>83.169496574322309</v>
      </c>
    </row>
    <row r="6" spans="2:8" x14ac:dyDescent="0.2">
      <c r="B6" s="276" t="s">
        <v>397</v>
      </c>
      <c r="C6" s="272" t="s">
        <v>29</v>
      </c>
      <c r="D6" s="278">
        <v>7126.8941500000001</v>
      </c>
      <c r="E6" s="273">
        <v>1677</v>
      </c>
      <c r="F6" s="273">
        <v>1432</v>
      </c>
      <c r="G6" s="273">
        <v>696</v>
      </c>
      <c r="H6" s="274">
        <v>48.603351955307261</v>
      </c>
    </row>
    <row r="7" spans="2:8" x14ac:dyDescent="0.2">
      <c r="B7" s="276" t="s">
        <v>399</v>
      </c>
      <c r="C7" s="272" t="s">
        <v>30</v>
      </c>
      <c r="D7" s="278">
        <v>30270.602410000003</v>
      </c>
      <c r="E7" s="273">
        <v>4740</v>
      </c>
      <c r="F7" s="273">
        <v>3456</v>
      </c>
      <c r="G7" s="273">
        <v>3240</v>
      </c>
      <c r="H7" s="274">
        <v>93.75</v>
      </c>
    </row>
    <row r="8" spans="2:8" ht="14.25" customHeight="1" x14ac:dyDescent="0.2">
      <c r="B8" s="276" t="s">
        <v>398</v>
      </c>
      <c r="C8" s="272" t="s">
        <v>31</v>
      </c>
      <c r="D8" s="278">
        <v>30876.941329999998</v>
      </c>
      <c r="E8" s="273">
        <v>1986</v>
      </c>
      <c r="F8" s="273">
        <v>1786</v>
      </c>
      <c r="G8" s="273">
        <v>1711</v>
      </c>
      <c r="H8" s="274">
        <v>95.800671892497206</v>
      </c>
    </row>
    <row r="9" spans="2:8" ht="14.25" customHeight="1" x14ac:dyDescent="0.2">
      <c r="B9" s="276" t="s">
        <v>400</v>
      </c>
      <c r="C9" s="272" t="s">
        <v>32</v>
      </c>
      <c r="D9" s="278">
        <v>866.99728000000005</v>
      </c>
      <c r="E9" s="273">
        <v>573</v>
      </c>
      <c r="F9" s="273">
        <v>469</v>
      </c>
      <c r="G9" s="273">
        <v>29</v>
      </c>
      <c r="H9" s="274">
        <v>6.1833688699360341</v>
      </c>
    </row>
    <row r="10" spans="2:8" ht="14.25" customHeight="1" x14ac:dyDescent="0.2">
      <c r="B10" s="244" t="s">
        <v>401</v>
      </c>
      <c r="C10" s="236" t="s">
        <v>33</v>
      </c>
      <c r="D10" s="279">
        <v>9.6662400000000002</v>
      </c>
      <c r="E10" s="238">
        <v>19</v>
      </c>
      <c r="F10" s="238">
        <v>16</v>
      </c>
      <c r="G10" s="238">
        <v>3</v>
      </c>
      <c r="H10" s="94">
        <v>18.75</v>
      </c>
    </row>
    <row r="11" spans="2:8" ht="14.25" customHeight="1" x14ac:dyDescent="0.2">
      <c r="B11" s="244" t="s">
        <v>6</v>
      </c>
      <c r="C11" s="236" t="s">
        <v>34</v>
      </c>
      <c r="D11" s="279">
        <v>112.35575</v>
      </c>
      <c r="E11" s="238">
        <v>20</v>
      </c>
      <c r="F11" s="238">
        <v>14</v>
      </c>
      <c r="G11" s="238">
        <v>13</v>
      </c>
      <c r="H11" s="94">
        <v>92.857142857142861</v>
      </c>
    </row>
    <row r="12" spans="2:8" ht="14.25" customHeight="1" x14ac:dyDescent="0.2">
      <c r="B12" s="244" t="s">
        <v>402</v>
      </c>
      <c r="C12" s="236" t="s">
        <v>35</v>
      </c>
      <c r="D12" s="279">
        <v>0</v>
      </c>
      <c r="E12" s="238">
        <v>0</v>
      </c>
      <c r="F12" s="238">
        <v>0</v>
      </c>
      <c r="G12" s="238">
        <v>0</v>
      </c>
      <c r="H12" s="94" t="e">
        <v>#DIV/0!</v>
      </c>
    </row>
    <row r="13" spans="2:8" x14ac:dyDescent="0.2">
      <c r="B13" s="244" t="s">
        <v>8</v>
      </c>
      <c r="C13" s="236" t="s">
        <v>36</v>
      </c>
      <c r="D13" s="279">
        <v>0</v>
      </c>
      <c r="E13" s="238">
        <v>0</v>
      </c>
      <c r="F13" s="238">
        <v>0</v>
      </c>
      <c r="G13" s="238">
        <v>0</v>
      </c>
      <c r="H13" s="94" t="e">
        <v>#DIV/0!</v>
      </c>
    </row>
    <row r="14" spans="2:8" ht="14.25" customHeight="1" x14ac:dyDescent="0.2">
      <c r="B14" s="244" t="s">
        <v>403</v>
      </c>
      <c r="C14" s="236" t="s">
        <v>37</v>
      </c>
      <c r="D14" s="279">
        <v>15.240640000000001</v>
      </c>
      <c r="E14" s="238">
        <v>4</v>
      </c>
      <c r="F14" s="238">
        <v>0</v>
      </c>
      <c r="G14" s="238">
        <v>0</v>
      </c>
      <c r="H14" s="94" t="e">
        <v>#DIV/0!</v>
      </c>
    </row>
    <row r="15" spans="2:8" ht="14.25" customHeight="1" x14ac:dyDescent="0.2">
      <c r="B15" s="276" t="s">
        <v>9</v>
      </c>
      <c r="C15" s="272" t="s">
        <v>26</v>
      </c>
      <c r="D15" s="278">
        <v>975.29745000000014</v>
      </c>
      <c r="E15" s="273">
        <v>259</v>
      </c>
      <c r="F15" s="273">
        <v>151</v>
      </c>
      <c r="G15" s="273">
        <v>59</v>
      </c>
      <c r="H15" s="274">
        <v>39.072847682119203</v>
      </c>
    </row>
    <row r="16" spans="2:8" x14ac:dyDescent="0.2">
      <c r="B16" s="244" t="s">
        <v>404</v>
      </c>
      <c r="C16" s="236" t="s">
        <v>38</v>
      </c>
      <c r="D16" s="279">
        <v>1160.1771699999999</v>
      </c>
      <c r="E16" s="238">
        <v>139</v>
      </c>
      <c r="F16" s="238">
        <v>84</v>
      </c>
      <c r="G16" s="238">
        <v>67</v>
      </c>
      <c r="H16" s="94">
        <v>79.761904761904773</v>
      </c>
    </row>
    <row r="17" spans="2:8" x14ac:dyDescent="0.2">
      <c r="B17" s="276" t="s">
        <v>11</v>
      </c>
      <c r="C17" s="272" t="s">
        <v>39</v>
      </c>
      <c r="D17" s="278">
        <v>12076.42793</v>
      </c>
      <c r="E17" s="273">
        <v>1119</v>
      </c>
      <c r="F17" s="273">
        <v>1044</v>
      </c>
      <c r="G17" s="273">
        <v>957</v>
      </c>
      <c r="H17" s="274">
        <v>91.666666666666657</v>
      </c>
    </row>
    <row r="18" spans="2:8" ht="14.25" customHeight="1" x14ac:dyDescent="0.2">
      <c r="B18" s="276" t="s">
        <v>405</v>
      </c>
      <c r="C18" s="272" t="s">
        <v>40</v>
      </c>
      <c r="D18" s="278">
        <v>1775.8806399999996</v>
      </c>
      <c r="E18" s="273">
        <v>184</v>
      </c>
      <c r="F18" s="273">
        <v>98</v>
      </c>
      <c r="G18" s="273">
        <v>82</v>
      </c>
      <c r="H18" s="274">
        <v>83.673469387755105</v>
      </c>
    </row>
    <row r="19" spans="2:8" x14ac:dyDescent="0.2">
      <c r="B19" s="244" t="s">
        <v>406</v>
      </c>
      <c r="C19" s="236" t="s">
        <v>41</v>
      </c>
      <c r="D19" s="279">
        <v>6.02</v>
      </c>
      <c r="E19" s="238">
        <v>1</v>
      </c>
      <c r="F19" s="238">
        <v>1</v>
      </c>
      <c r="G19" s="238">
        <v>1</v>
      </c>
      <c r="H19" s="94">
        <v>100</v>
      </c>
    </row>
    <row r="20" spans="2:8" ht="14.25" customHeight="1" x14ac:dyDescent="0.2">
      <c r="B20" s="276" t="s">
        <v>376</v>
      </c>
      <c r="C20" s="272" t="s">
        <v>42</v>
      </c>
      <c r="D20" s="278">
        <v>260.59657999999996</v>
      </c>
      <c r="E20" s="273">
        <v>53</v>
      </c>
      <c r="F20" s="273">
        <v>26</v>
      </c>
      <c r="G20" s="273">
        <v>14</v>
      </c>
      <c r="H20" s="274">
        <v>53.846153846153847</v>
      </c>
    </row>
    <row r="21" spans="2:8" x14ac:dyDescent="0.2">
      <c r="B21" s="276" t="s">
        <v>377</v>
      </c>
      <c r="C21" s="272" t="s">
        <v>43</v>
      </c>
      <c r="D21" s="278">
        <v>159.69344000000001</v>
      </c>
      <c r="E21" s="273">
        <v>22</v>
      </c>
      <c r="F21" s="273">
        <v>0</v>
      </c>
      <c r="G21" s="273">
        <v>0</v>
      </c>
      <c r="H21" s="274" t="e">
        <v>#DIV/0!</v>
      </c>
    </row>
    <row r="22" spans="2:8" ht="14.25" customHeight="1" x14ac:dyDescent="0.2">
      <c r="B22" s="244" t="s">
        <v>15</v>
      </c>
      <c r="C22" s="236" t="s">
        <v>44</v>
      </c>
      <c r="D22" s="279">
        <v>0</v>
      </c>
      <c r="E22" s="238">
        <v>0</v>
      </c>
      <c r="F22" s="238">
        <v>0</v>
      </c>
      <c r="G22" s="238">
        <v>0</v>
      </c>
      <c r="H22" s="94" t="e">
        <v>#DIV/0!</v>
      </c>
    </row>
    <row r="23" spans="2:8" ht="15.75" customHeight="1" x14ac:dyDescent="0.2">
      <c r="B23" s="276" t="s">
        <v>16</v>
      </c>
      <c r="C23" s="272" t="s">
        <v>45</v>
      </c>
      <c r="D23" s="278">
        <v>73704.392209999991</v>
      </c>
      <c r="E23" s="273">
        <v>2215</v>
      </c>
      <c r="F23" s="273">
        <v>2261</v>
      </c>
      <c r="G23" s="273">
        <v>2176</v>
      </c>
      <c r="H23" s="274">
        <v>96.240601503759393</v>
      </c>
    </row>
    <row r="24" spans="2:8" ht="14.25" customHeight="1" x14ac:dyDescent="0.2">
      <c r="B24" s="244" t="s">
        <v>407</v>
      </c>
      <c r="C24" s="236" t="s">
        <v>46</v>
      </c>
      <c r="D24" s="279">
        <v>32</v>
      </c>
      <c r="E24" s="238">
        <v>1</v>
      </c>
      <c r="F24" s="238">
        <v>3</v>
      </c>
      <c r="G24" s="238">
        <v>3</v>
      </c>
      <c r="H24" s="94">
        <v>100</v>
      </c>
    </row>
    <row r="25" spans="2:8" x14ac:dyDescent="0.2">
      <c r="B25" s="276" t="s">
        <v>17</v>
      </c>
      <c r="C25" s="272" t="s">
        <v>47</v>
      </c>
      <c r="D25" s="278">
        <v>59305.516130000011</v>
      </c>
      <c r="E25" s="273">
        <v>1535</v>
      </c>
      <c r="F25" s="273">
        <v>1738</v>
      </c>
      <c r="G25" s="273">
        <v>1553</v>
      </c>
      <c r="H25" s="274">
        <v>89.355581127733032</v>
      </c>
    </row>
    <row r="26" spans="2:8" ht="14.25" customHeight="1" x14ac:dyDescent="0.2">
      <c r="B26" s="244" t="s">
        <v>407</v>
      </c>
      <c r="C26" s="236" t="s">
        <v>48</v>
      </c>
      <c r="D26" s="279">
        <v>0</v>
      </c>
      <c r="E26" s="238">
        <v>0</v>
      </c>
      <c r="F26" s="238">
        <v>0</v>
      </c>
      <c r="G26" s="238">
        <v>0</v>
      </c>
      <c r="H26" s="94" t="e">
        <v>#DIV/0!</v>
      </c>
    </row>
    <row r="27" spans="2:8" x14ac:dyDescent="0.2">
      <c r="B27" s="244" t="s">
        <v>18</v>
      </c>
      <c r="C27" s="236" t="s">
        <v>319</v>
      </c>
      <c r="D27" s="279">
        <v>0</v>
      </c>
      <c r="E27" s="238">
        <v>0</v>
      </c>
      <c r="F27" s="238">
        <v>0</v>
      </c>
      <c r="G27" s="238">
        <v>0</v>
      </c>
      <c r="H27" s="94" t="e">
        <v>#DIV/0!</v>
      </c>
    </row>
    <row r="28" spans="2:8" x14ac:dyDescent="0.2">
      <c r="B28" s="276" t="s">
        <v>358</v>
      </c>
      <c r="C28" s="272" t="s">
        <v>320</v>
      </c>
      <c r="D28" s="278">
        <v>17.22</v>
      </c>
      <c r="E28" s="273">
        <v>5</v>
      </c>
      <c r="F28" s="273">
        <v>1</v>
      </c>
      <c r="G28" s="273">
        <v>0</v>
      </c>
      <c r="H28" s="274">
        <v>0</v>
      </c>
    </row>
    <row r="29" spans="2:8" x14ac:dyDescent="0.2">
      <c r="B29" s="275" t="s">
        <v>408</v>
      </c>
      <c r="C29" s="272" t="s">
        <v>321</v>
      </c>
      <c r="D29" s="278">
        <v>1749.4873700000001</v>
      </c>
      <c r="E29" s="273">
        <v>86</v>
      </c>
      <c r="F29" s="273">
        <v>29</v>
      </c>
      <c r="G29" s="273">
        <v>21</v>
      </c>
      <c r="H29" s="274">
        <v>72.41379310344827</v>
      </c>
    </row>
    <row r="30" spans="2:8" x14ac:dyDescent="0.2">
      <c r="B30" s="244" t="s">
        <v>215</v>
      </c>
      <c r="C30" s="236" t="s">
        <v>322</v>
      </c>
      <c r="D30" s="279">
        <v>2.9083299999999999</v>
      </c>
      <c r="E30" s="238">
        <v>1</v>
      </c>
      <c r="F30" s="238">
        <v>1</v>
      </c>
      <c r="G30" s="238">
        <v>1</v>
      </c>
      <c r="H30" s="94">
        <v>100</v>
      </c>
    </row>
    <row r="31" spans="2:8" x14ac:dyDescent="0.2">
      <c r="B31" s="244" t="s">
        <v>409</v>
      </c>
      <c r="C31" s="265" t="s">
        <v>391</v>
      </c>
      <c r="D31" s="127">
        <v>0</v>
      </c>
      <c r="E31" s="46">
        <v>0</v>
      </c>
      <c r="F31" s="46">
        <v>0</v>
      </c>
      <c r="G31" s="46">
        <v>0</v>
      </c>
      <c r="H31" s="45" t="e">
        <v>#DIV/0!</v>
      </c>
    </row>
    <row r="32" spans="2:8" x14ac:dyDescent="0.2">
      <c r="B32" s="244" t="s">
        <v>410</v>
      </c>
      <c r="C32" s="265" t="s">
        <v>392</v>
      </c>
      <c r="D32" s="125">
        <v>0</v>
      </c>
      <c r="E32" s="125">
        <v>0</v>
      </c>
      <c r="F32" s="125">
        <v>0</v>
      </c>
      <c r="G32" s="125">
        <v>0</v>
      </c>
      <c r="H32" s="94" t="e">
        <v>#DIV/0!</v>
      </c>
    </row>
    <row r="33" spans="2:8" x14ac:dyDescent="0.2">
      <c r="B33" s="244" t="s">
        <v>411</v>
      </c>
      <c r="C33" s="265" t="s">
        <v>393</v>
      </c>
      <c r="D33" s="125">
        <v>276382.56017000001</v>
      </c>
      <c r="E33" s="125">
        <v>0</v>
      </c>
      <c r="F33" s="125">
        <v>0</v>
      </c>
      <c r="G33" s="125">
        <v>0</v>
      </c>
      <c r="H33" s="94" t="e">
        <v>#DIV/0!</v>
      </c>
    </row>
    <row r="34" spans="2:8" x14ac:dyDescent="0.2">
      <c r="B34" s="281" t="s">
        <v>412</v>
      </c>
      <c r="C34" s="280" t="s">
        <v>394</v>
      </c>
      <c r="D34" s="289">
        <v>591173.05798000004</v>
      </c>
      <c r="E34" s="289">
        <v>45825</v>
      </c>
      <c r="F34" s="289">
        <v>38645</v>
      </c>
      <c r="G34" s="289">
        <v>32417</v>
      </c>
      <c r="H34" s="283">
        <v>83.884072971923914</v>
      </c>
    </row>
    <row r="35" spans="2:8" x14ac:dyDescent="0.2">
      <c r="B35" s="244" t="s">
        <v>413</v>
      </c>
      <c r="C35" s="282" t="s">
        <v>49</v>
      </c>
      <c r="D35" s="255">
        <v>23300</v>
      </c>
      <c r="E35" s="125">
        <v>0</v>
      </c>
      <c r="F35" s="125">
        <v>0</v>
      </c>
      <c r="G35" s="125">
        <v>0</v>
      </c>
      <c r="H35" s="94"/>
    </row>
    <row r="36" spans="2:8" x14ac:dyDescent="0.2">
      <c r="B36" s="244" t="s">
        <v>414</v>
      </c>
      <c r="C36" s="265" t="s">
        <v>50</v>
      </c>
      <c r="D36" s="255">
        <v>2730</v>
      </c>
      <c r="E36" s="125">
        <v>0</v>
      </c>
      <c r="F36" s="125">
        <v>0</v>
      </c>
      <c r="G36" s="125">
        <v>0</v>
      </c>
      <c r="H36" s="44"/>
    </row>
    <row r="38" spans="2:8" x14ac:dyDescent="0.2">
      <c r="B38" s="287" t="s">
        <v>281</v>
      </c>
      <c r="C38" s="246"/>
      <c r="D38" s="288">
        <v>276382.56017000001</v>
      </c>
      <c r="E38" s="247">
        <v>20427</v>
      </c>
      <c r="F38" s="247">
        <v>17387</v>
      </c>
      <c r="G38" s="247">
        <v>14960</v>
      </c>
      <c r="H38" s="292">
        <v>18474.770064839573</v>
      </c>
    </row>
    <row r="39" spans="2:8" x14ac:dyDescent="0.2">
      <c r="B39" s="277" t="s">
        <v>281</v>
      </c>
      <c r="C39" s="244"/>
      <c r="D39" s="285">
        <v>276382560.17000002</v>
      </c>
      <c r="E39" s="282">
        <v>20427</v>
      </c>
      <c r="F39" s="282">
        <v>17387</v>
      </c>
      <c r="G39" s="282">
        <v>14960</v>
      </c>
    </row>
    <row r="40" spans="2:8" x14ac:dyDescent="0.2">
      <c r="B40" s="246" t="s">
        <v>282</v>
      </c>
      <c r="C40" s="246"/>
      <c r="D40" s="253">
        <v>288458.98810000002</v>
      </c>
      <c r="E40" s="247">
        <v>21546</v>
      </c>
      <c r="F40" s="247">
        <v>18431</v>
      </c>
      <c r="G40" s="247">
        <v>15917</v>
      </c>
      <c r="H40" s="292">
        <v>18122.698253439718</v>
      </c>
    </row>
    <row r="41" spans="2:8" x14ac:dyDescent="0.2">
      <c r="B41" s="244" t="s">
        <v>282</v>
      </c>
      <c r="C41" s="282"/>
      <c r="D41" s="286">
        <v>288458.98810000002</v>
      </c>
      <c r="E41" s="290">
        <v>21.545999999999999</v>
      </c>
      <c r="F41" s="290">
        <v>18.431000000000001</v>
      </c>
      <c r="G41" s="290">
        <v>15.917</v>
      </c>
    </row>
    <row r="42" spans="2:8" x14ac:dyDescent="0.2">
      <c r="H42" s="94">
        <v>13448.82054799427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93DC5-529A-4240-9BB8-725C2E40B363}">
  <sheetPr>
    <tabColor rgb="FFCCECFF"/>
  </sheetPr>
  <dimension ref="B1:J36"/>
  <sheetViews>
    <sheetView zoomScale="80" zoomScaleNormal="80" workbookViewId="0">
      <selection activeCell="B1" sqref="B1"/>
    </sheetView>
  </sheetViews>
  <sheetFormatPr defaultRowHeight="14.25" x14ac:dyDescent="0.2"/>
  <cols>
    <col min="1" max="1" width="2" style="44" customWidth="1"/>
    <col min="2" max="2" width="9.140625" style="44"/>
    <col min="3" max="3" width="59.85546875" style="44" customWidth="1"/>
    <col min="4" max="4" width="4.28515625" style="44" customWidth="1"/>
    <col min="5" max="5" width="18" style="44" customWidth="1"/>
    <col min="6" max="6" width="23.28515625" style="44" customWidth="1"/>
    <col min="7" max="7" width="22.5703125" style="44" customWidth="1"/>
    <col min="8" max="8" width="19.5703125" style="44" customWidth="1"/>
    <col min="9" max="9" width="10.42578125" style="45" bestFit="1" customWidth="1"/>
    <col min="10" max="10" width="13.140625" style="44" customWidth="1"/>
    <col min="11" max="16384" width="9.140625" style="44"/>
  </cols>
  <sheetData>
    <row r="1" spans="2:10" x14ac:dyDescent="0.2">
      <c r="B1" s="44" t="s">
        <v>324</v>
      </c>
      <c r="I1" s="44"/>
    </row>
    <row r="2" spans="2:10" ht="59.25" x14ac:dyDescent="0.2">
      <c r="B2" s="791" t="s">
        <v>21</v>
      </c>
      <c r="C2" s="791"/>
      <c r="D2" s="791"/>
      <c r="E2" s="234" t="s">
        <v>446</v>
      </c>
      <c r="F2" s="235" t="s">
        <v>443</v>
      </c>
      <c r="G2" s="235" t="s">
        <v>444</v>
      </c>
      <c r="H2" s="235" t="s">
        <v>445</v>
      </c>
      <c r="I2" s="44"/>
    </row>
    <row r="3" spans="2:10" x14ac:dyDescent="0.2">
      <c r="B3" s="791">
        <v>0</v>
      </c>
      <c r="C3" s="791"/>
      <c r="D3" s="791"/>
      <c r="E3" s="234">
        <v>1</v>
      </c>
      <c r="F3" s="235">
        <v>2</v>
      </c>
      <c r="G3" s="235">
        <v>3</v>
      </c>
      <c r="H3" s="235">
        <v>4</v>
      </c>
      <c r="I3" s="44"/>
    </row>
    <row r="4" spans="2:10" x14ac:dyDescent="0.2">
      <c r="B4" s="787" t="s">
        <v>218</v>
      </c>
      <c r="C4" s="787"/>
      <c r="D4" s="236" t="s">
        <v>27</v>
      </c>
      <c r="E4" s="237">
        <v>292043.81695000001</v>
      </c>
      <c r="F4" s="238">
        <v>26934</v>
      </c>
      <c r="G4" s="238">
        <v>20020</v>
      </c>
      <c r="H4" s="238">
        <v>16901</v>
      </c>
      <c r="I4" s="44"/>
    </row>
    <row r="5" spans="2:10" x14ac:dyDescent="0.2">
      <c r="B5" s="783" t="s">
        <v>114</v>
      </c>
      <c r="C5" s="783"/>
      <c r="D5" s="239" t="s">
        <v>28</v>
      </c>
      <c r="E5" s="240">
        <v>82696.333379999996</v>
      </c>
      <c r="F5" s="241">
        <v>10657</v>
      </c>
      <c r="G5" s="241">
        <v>7469</v>
      </c>
      <c r="H5" s="241">
        <v>6354</v>
      </c>
      <c r="I5" s="94">
        <v>85.071629401526295</v>
      </c>
      <c r="J5" s="184"/>
    </row>
    <row r="6" spans="2:10" x14ac:dyDescent="0.2">
      <c r="B6" s="790" t="s">
        <v>2</v>
      </c>
      <c r="C6" s="790"/>
      <c r="D6" s="239" t="s">
        <v>29</v>
      </c>
      <c r="E6" s="240">
        <v>5662.5126100000016</v>
      </c>
      <c r="F6" s="241">
        <v>1845</v>
      </c>
      <c r="G6" s="241">
        <v>1501</v>
      </c>
      <c r="H6" s="241">
        <v>781</v>
      </c>
      <c r="I6" s="94">
        <v>52.031978680879398</v>
      </c>
    </row>
    <row r="7" spans="2:10" x14ac:dyDescent="0.2">
      <c r="B7" s="790" t="s">
        <v>3</v>
      </c>
      <c r="C7" s="790"/>
      <c r="D7" s="239" t="s">
        <v>30</v>
      </c>
      <c r="E7" s="240">
        <v>29417.699989999997</v>
      </c>
      <c r="F7" s="241">
        <v>5180</v>
      </c>
      <c r="G7" s="241">
        <v>3613</v>
      </c>
      <c r="H7" s="241">
        <v>3373</v>
      </c>
      <c r="I7" s="94">
        <v>93.357320786050394</v>
      </c>
    </row>
    <row r="8" spans="2:10" x14ac:dyDescent="0.2">
      <c r="B8" s="786" t="s">
        <v>4</v>
      </c>
      <c r="C8" s="786"/>
      <c r="D8" s="239" t="s">
        <v>31</v>
      </c>
      <c r="E8" s="240">
        <v>30695.17913</v>
      </c>
      <c r="F8" s="241">
        <v>2172</v>
      </c>
      <c r="G8" s="241">
        <v>1891</v>
      </c>
      <c r="H8" s="241">
        <v>1782</v>
      </c>
      <c r="I8" s="94">
        <v>94.23585404547859</v>
      </c>
    </row>
    <row r="9" spans="2:10" x14ac:dyDescent="0.2">
      <c r="B9" s="787" t="s">
        <v>5</v>
      </c>
      <c r="C9" s="787"/>
      <c r="D9" s="236" t="s">
        <v>32</v>
      </c>
      <c r="E9" s="237">
        <v>798.38209999999992</v>
      </c>
      <c r="F9" s="238">
        <v>596</v>
      </c>
      <c r="G9" s="238">
        <v>490</v>
      </c>
      <c r="H9" s="238">
        <v>36</v>
      </c>
      <c r="I9" s="94">
        <v>7.3469387755102051</v>
      </c>
    </row>
    <row r="10" spans="2:10" x14ac:dyDescent="0.2">
      <c r="B10" s="788" t="s">
        <v>115</v>
      </c>
      <c r="C10" s="788"/>
      <c r="D10" s="236" t="s">
        <v>33</v>
      </c>
      <c r="E10" s="237">
        <v>8.5602</v>
      </c>
      <c r="F10" s="238">
        <v>18</v>
      </c>
      <c r="G10" s="238">
        <v>15</v>
      </c>
      <c r="H10" s="238">
        <v>1</v>
      </c>
      <c r="I10" s="94">
        <v>6.666666666666667</v>
      </c>
    </row>
    <row r="11" spans="2:10" x14ac:dyDescent="0.2">
      <c r="B11" s="787" t="s">
        <v>6</v>
      </c>
      <c r="C11" s="787"/>
      <c r="D11" s="236" t="s">
        <v>34</v>
      </c>
      <c r="E11" s="237">
        <v>143.34989999999999</v>
      </c>
      <c r="F11" s="238">
        <v>22</v>
      </c>
      <c r="G11" s="238">
        <v>6</v>
      </c>
      <c r="H11" s="238">
        <v>5</v>
      </c>
      <c r="I11" s="94">
        <v>83.333333333333343</v>
      </c>
    </row>
    <row r="12" spans="2:10" x14ac:dyDescent="0.2">
      <c r="B12" s="787" t="s">
        <v>7</v>
      </c>
      <c r="C12" s="787"/>
      <c r="D12" s="236" t="s">
        <v>35</v>
      </c>
      <c r="E12" s="237">
        <v>0</v>
      </c>
      <c r="F12" s="238">
        <v>0</v>
      </c>
      <c r="G12" s="238">
        <v>0</v>
      </c>
      <c r="H12" s="238">
        <v>0</v>
      </c>
      <c r="I12" s="94"/>
    </row>
    <row r="13" spans="2:10" x14ac:dyDescent="0.2">
      <c r="B13" s="782" t="s">
        <v>8</v>
      </c>
      <c r="C13" s="782"/>
      <c r="D13" s="236" t="s">
        <v>36</v>
      </c>
      <c r="E13" s="237">
        <v>0</v>
      </c>
      <c r="F13" s="238">
        <v>0</v>
      </c>
      <c r="G13" s="238">
        <v>0</v>
      </c>
      <c r="H13" s="238">
        <v>0</v>
      </c>
      <c r="I13" s="94"/>
    </row>
    <row r="14" spans="2:10" x14ac:dyDescent="0.2">
      <c r="B14" s="789" t="s">
        <v>116</v>
      </c>
      <c r="C14" s="789"/>
      <c r="D14" s="236" t="s">
        <v>37</v>
      </c>
      <c r="E14" s="237">
        <v>51.862459999999999</v>
      </c>
      <c r="F14" s="238">
        <v>18</v>
      </c>
      <c r="G14" s="238">
        <v>7</v>
      </c>
      <c r="H14" s="238">
        <v>1</v>
      </c>
      <c r="I14" s="94">
        <v>14.285714285714285</v>
      </c>
    </row>
    <row r="15" spans="2:10" x14ac:dyDescent="0.2">
      <c r="B15" s="787" t="s">
        <v>9</v>
      </c>
      <c r="C15" s="787"/>
      <c r="D15" s="236" t="s">
        <v>26</v>
      </c>
      <c r="E15" s="237">
        <v>1224.1890699999999</v>
      </c>
      <c r="F15" s="238">
        <v>289</v>
      </c>
      <c r="G15" s="238">
        <v>124</v>
      </c>
      <c r="H15" s="238">
        <v>52</v>
      </c>
      <c r="I15" s="94">
        <v>41.935483870967744</v>
      </c>
    </row>
    <row r="16" spans="2:10" x14ac:dyDescent="0.2">
      <c r="B16" s="782" t="s">
        <v>10</v>
      </c>
      <c r="C16" s="782"/>
      <c r="D16" s="236" t="s">
        <v>38</v>
      </c>
      <c r="E16" s="237">
        <v>1381.76855</v>
      </c>
      <c r="F16" s="238">
        <v>217</v>
      </c>
      <c r="G16" s="238">
        <v>124</v>
      </c>
      <c r="H16" s="238">
        <v>93</v>
      </c>
      <c r="I16" s="94">
        <v>75</v>
      </c>
    </row>
    <row r="17" spans="2:9" x14ac:dyDescent="0.2">
      <c r="B17" s="790" t="s">
        <v>11</v>
      </c>
      <c r="C17" s="790"/>
      <c r="D17" s="239" t="s">
        <v>39</v>
      </c>
      <c r="E17" s="240">
        <v>10240.80077</v>
      </c>
      <c r="F17" s="241">
        <v>1132</v>
      </c>
      <c r="G17" s="241">
        <v>1001</v>
      </c>
      <c r="H17" s="241">
        <v>913</v>
      </c>
      <c r="I17" s="94">
        <v>91.208791208791212</v>
      </c>
    </row>
    <row r="18" spans="2:9" x14ac:dyDescent="0.2">
      <c r="B18" s="781" t="s">
        <v>12</v>
      </c>
      <c r="C18" s="781"/>
      <c r="D18" s="236" t="s">
        <v>40</v>
      </c>
      <c r="E18" s="237">
        <v>1696.2226400000002</v>
      </c>
      <c r="F18" s="238">
        <v>196</v>
      </c>
      <c r="G18" s="238">
        <v>108</v>
      </c>
      <c r="H18" s="238">
        <v>89</v>
      </c>
      <c r="I18" s="94">
        <v>82.407407407407405</v>
      </c>
    </row>
    <row r="19" spans="2:9" x14ac:dyDescent="0.2">
      <c r="B19" s="782" t="s">
        <v>13</v>
      </c>
      <c r="C19" s="782"/>
      <c r="D19" s="236" t="s">
        <v>41</v>
      </c>
      <c r="E19" s="237">
        <v>12.04</v>
      </c>
      <c r="F19" s="238">
        <v>1</v>
      </c>
      <c r="G19" s="238">
        <v>1</v>
      </c>
      <c r="H19" s="238">
        <v>1</v>
      </c>
      <c r="I19" s="94"/>
    </row>
    <row r="20" spans="2:9" x14ac:dyDescent="0.2">
      <c r="B20" s="781" t="s">
        <v>14</v>
      </c>
      <c r="C20" s="781"/>
      <c r="D20" s="236" t="s">
        <v>42</v>
      </c>
      <c r="E20" s="237">
        <v>102.15375</v>
      </c>
      <c r="F20" s="238">
        <v>28</v>
      </c>
      <c r="G20" s="238">
        <v>24</v>
      </c>
      <c r="H20" s="238">
        <v>11</v>
      </c>
      <c r="I20" s="94">
        <v>45.833333333333329</v>
      </c>
    </row>
    <row r="21" spans="2:9" x14ac:dyDescent="0.2">
      <c r="B21" s="782" t="s">
        <v>15</v>
      </c>
      <c r="C21" s="782"/>
      <c r="D21" s="236" t="s">
        <v>43</v>
      </c>
      <c r="E21" s="237">
        <v>0</v>
      </c>
      <c r="F21" s="238">
        <v>0</v>
      </c>
      <c r="G21" s="238">
        <v>0</v>
      </c>
      <c r="H21" s="238">
        <v>0</v>
      </c>
      <c r="I21" s="94"/>
    </row>
    <row r="22" spans="2:9" x14ac:dyDescent="0.2">
      <c r="B22" s="783" t="s">
        <v>16</v>
      </c>
      <c r="C22" s="783"/>
      <c r="D22" s="239" t="s">
        <v>44</v>
      </c>
      <c r="E22" s="240">
        <v>64698.140999999996</v>
      </c>
      <c r="F22" s="241">
        <v>2383</v>
      </c>
      <c r="G22" s="241">
        <v>2324</v>
      </c>
      <c r="H22" s="241">
        <v>2217</v>
      </c>
      <c r="I22" s="94">
        <v>95.395869191049911</v>
      </c>
    </row>
    <row r="23" spans="2:9" ht="15.75" customHeight="1" x14ac:dyDescent="0.2">
      <c r="B23" s="242" t="s">
        <v>117</v>
      </c>
      <c r="C23" s="243" t="s">
        <v>118</v>
      </c>
      <c r="D23" s="236" t="s">
        <v>45</v>
      </c>
      <c r="E23" s="237">
        <v>0</v>
      </c>
      <c r="F23" s="238">
        <v>0</v>
      </c>
      <c r="G23" s="238">
        <v>2</v>
      </c>
      <c r="H23" s="238">
        <v>2</v>
      </c>
      <c r="I23" s="94"/>
    </row>
    <row r="24" spans="2:9" x14ac:dyDescent="0.2">
      <c r="B24" s="783" t="s">
        <v>17</v>
      </c>
      <c r="C24" s="783"/>
      <c r="D24" s="239" t="s">
        <v>46</v>
      </c>
      <c r="E24" s="240">
        <v>63169.621400000004</v>
      </c>
      <c r="F24" s="241">
        <v>2178</v>
      </c>
      <c r="G24" s="241">
        <v>1318</v>
      </c>
      <c r="H24" s="241">
        <v>1190</v>
      </c>
      <c r="I24" s="94">
        <v>90.28831562974203</v>
      </c>
    </row>
    <row r="25" spans="2:9" x14ac:dyDescent="0.2">
      <c r="B25" s="242" t="s">
        <v>117</v>
      </c>
      <c r="C25" s="243" t="s">
        <v>118</v>
      </c>
      <c r="D25" s="236" t="s">
        <v>47</v>
      </c>
      <c r="E25" s="237">
        <v>0</v>
      </c>
      <c r="F25" s="238">
        <v>0</v>
      </c>
      <c r="G25" s="238">
        <v>0</v>
      </c>
      <c r="H25" s="238">
        <v>0</v>
      </c>
      <c r="I25" s="94"/>
    </row>
    <row r="26" spans="2:9" x14ac:dyDescent="0.2">
      <c r="B26" s="784" t="s">
        <v>18</v>
      </c>
      <c r="C26" s="785"/>
      <c r="D26" s="236" t="s">
        <v>48</v>
      </c>
      <c r="E26" s="237">
        <v>0</v>
      </c>
      <c r="F26" s="238">
        <v>0</v>
      </c>
      <c r="G26" s="238">
        <v>0</v>
      </c>
      <c r="H26" s="238">
        <v>0</v>
      </c>
      <c r="I26" s="94"/>
    </row>
    <row r="27" spans="2:9" x14ac:dyDescent="0.2">
      <c r="B27" s="782" t="s">
        <v>219</v>
      </c>
      <c r="C27" s="782"/>
      <c r="D27" s="236">
        <v>24</v>
      </c>
      <c r="E27" s="237">
        <v>0</v>
      </c>
      <c r="F27" s="238">
        <v>0</v>
      </c>
      <c r="G27" s="238">
        <v>1</v>
      </c>
      <c r="H27" s="238">
        <v>1</v>
      </c>
      <c r="I27" s="94">
        <v>100</v>
      </c>
    </row>
    <row r="28" spans="2:9" x14ac:dyDescent="0.2">
      <c r="B28" s="779" t="s">
        <v>215</v>
      </c>
      <c r="C28" s="780"/>
      <c r="D28" s="236">
        <v>25</v>
      </c>
      <c r="E28" s="237">
        <v>15</v>
      </c>
      <c r="F28" s="238">
        <v>1</v>
      </c>
      <c r="G28" s="238">
        <v>3</v>
      </c>
      <c r="H28" s="238">
        <v>1</v>
      </c>
      <c r="I28" s="94">
        <v>33.333333333333329</v>
      </c>
    </row>
    <row r="29" spans="2:9" x14ac:dyDescent="0.2">
      <c r="B29" s="779" t="s">
        <v>220</v>
      </c>
      <c r="C29" s="780"/>
      <c r="D29" s="236">
        <v>26</v>
      </c>
      <c r="E29" s="237">
        <v>30</v>
      </c>
      <c r="F29" s="238">
        <v>1</v>
      </c>
      <c r="G29" s="238">
        <v>0</v>
      </c>
      <c r="H29" s="238">
        <v>0</v>
      </c>
      <c r="I29" s="94"/>
    </row>
    <row r="30" spans="2:9" x14ac:dyDescent="0.2">
      <c r="B30" s="779" t="s">
        <v>216</v>
      </c>
      <c r="C30" s="780"/>
      <c r="D30" s="236">
        <v>27</v>
      </c>
      <c r="E30" s="237">
        <v>584087.63390000002</v>
      </c>
      <c r="F30" s="238">
        <v>53868</v>
      </c>
      <c r="G30" s="238">
        <v>40042</v>
      </c>
      <c r="H30" s="238">
        <v>33804</v>
      </c>
      <c r="I30" s="94">
        <v>84.421357574546732</v>
      </c>
    </row>
    <row r="31" spans="2:9" x14ac:dyDescent="0.2">
      <c r="E31" s="194"/>
      <c r="F31" s="206"/>
      <c r="G31" s="206"/>
      <c r="H31" s="206"/>
    </row>
    <row r="32" spans="2:9" x14ac:dyDescent="0.2">
      <c r="B32" s="228" t="s">
        <v>281</v>
      </c>
      <c r="C32" s="229"/>
      <c r="D32" s="230"/>
      <c r="E32" s="231">
        <v>276339.48751000001</v>
      </c>
      <c r="F32" s="232">
        <v>24415</v>
      </c>
      <c r="G32" s="232">
        <v>18116</v>
      </c>
      <c r="H32" s="232">
        <v>15697</v>
      </c>
      <c r="I32" s="94">
        <v>86.64716272907927</v>
      </c>
    </row>
    <row r="33" spans="2:10" x14ac:dyDescent="0.2">
      <c r="B33" s="228" t="s">
        <v>281</v>
      </c>
      <c r="C33" s="269"/>
      <c r="D33" s="270"/>
      <c r="E33" s="271">
        <v>276339487.50999999</v>
      </c>
      <c r="F33" s="270">
        <v>24415</v>
      </c>
      <c r="G33" s="270">
        <v>18116</v>
      </c>
      <c r="H33" s="270">
        <v>15697</v>
      </c>
      <c r="I33" s="94"/>
    </row>
    <row r="34" spans="2:10" x14ac:dyDescent="0.2">
      <c r="E34" s="194"/>
      <c r="I34" s="94"/>
      <c r="J34" s="94">
        <v>17604.605179970695</v>
      </c>
    </row>
    <row r="35" spans="2:10" x14ac:dyDescent="0.2">
      <c r="B35" s="228" t="s">
        <v>282</v>
      </c>
      <c r="C35" s="229"/>
      <c r="D35" s="230"/>
      <c r="E35" s="231">
        <v>286580.28827999998</v>
      </c>
      <c r="F35" s="232">
        <v>25547</v>
      </c>
      <c r="G35" s="232">
        <v>19117</v>
      </c>
      <c r="H35" s="232">
        <v>16610</v>
      </c>
      <c r="I35" s="94">
        <v>86.886017680598414</v>
      </c>
      <c r="J35" s="94">
        <v>17253.479125827813</v>
      </c>
    </row>
    <row r="36" spans="2:10" x14ac:dyDescent="0.2">
      <c r="B36" s="228"/>
      <c r="C36" s="269"/>
      <c r="D36" s="270"/>
      <c r="E36" s="271">
        <v>286580.28827999998</v>
      </c>
      <c r="F36" s="270">
        <v>25547</v>
      </c>
      <c r="G36" s="270">
        <v>19117</v>
      </c>
      <c r="H36" s="270">
        <v>16610</v>
      </c>
      <c r="I36" s="44"/>
      <c r="J36" s="94">
        <v>13014.846298394712</v>
      </c>
    </row>
  </sheetData>
  <mergeCells count="27">
    <mergeCell ref="B7:C7"/>
    <mergeCell ref="B2:D2"/>
    <mergeCell ref="B3:D3"/>
    <mergeCell ref="B4:C4"/>
    <mergeCell ref="B5:C5"/>
    <mergeCell ref="B6:C6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8:C28"/>
    <mergeCell ref="B29:C29"/>
    <mergeCell ref="B30:C30"/>
    <mergeCell ref="B20:C20"/>
    <mergeCell ref="B21:C21"/>
    <mergeCell ref="B22:C22"/>
    <mergeCell ref="B24:C24"/>
    <mergeCell ref="B26:C26"/>
    <mergeCell ref="B27:C27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CCECFF"/>
    <pageSetUpPr fitToPage="1"/>
  </sheetPr>
  <dimension ref="B1:J36"/>
  <sheetViews>
    <sheetView zoomScale="80" zoomScaleNormal="80" workbookViewId="0">
      <selection activeCell="H13" sqref="H13"/>
    </sheetView>
  </sheetViews>
  <sheetFormatPr defaultRowHeight="14.25" x14ac:dyDescent="0.2"/>
  <cols>
    <col min="1" max="1" width="2" style="44" customWidth="1"/>
    <col min="2" max="2" width="9.140625" style="44"/>
    <col min="3" max="3" width="59.85546875" style="44" customWidth="1"/>
    <col min="4" max="4" width="4.28515625" style="44" customWidth="1"/>
    <col min="5" max="5" width="18" style="44" customWidth="1"/>
    <col min="6" max="6" width="23.28515625" style="44" customWidth="1"/>
    <col min="7" max="7" width="22.5703125" style="44" customWidth="1"/>
    <col min="8" max="8" width="19.5703125" style="44" customWidth="1"/>
    <col min="9" max="9" width="10.42578125" style="45" bestFit="1" customWidth="1"/>
    <col min="10" max="10" width="13.140625" style="44" customWidth="1"/>
    <col min="11" max="16384" width="9.140625" style="44"/>
  </cols>
  <sheetData>
    <row r="1" spans="2:10" x14ac:dyDescent="0.2">
      <c r="B1" s="44" t="s">
        <v>300</v>
      </c>
      <c r="I1" s="44"/>
    </row>
    <row r="2" spans="2:10" ht="59.25" x14ac:dyDescent="0.2">
      <c r="B2" s="791" t="s">
        <v>21</v>
      </c>
      <c r="C2" s="791"/>
      <c r="D2" s="791"/>
      <c r="E2" s="234" t="s">
        <v>446</v>
      </c>
      <c r="F2" s="235" t="s">
        <v>443</v>
      </c>
      <c r="G2" s="235" t="s">
        <v>444</v>
      </c>
      <c r="H2" s="235" t="s">
        <v>445</v>
      </c>
      <c r="I2" s="44"/>
    </row>
    <row r="3" spans="2:10" x14ac:dyDescent="0.2">
      <c r="B3" s="791">
        <v>0</v>
      </c>
      <c r="C3" s="791"/>
      <c r="D3" s="791"/>
      <c r="E3" s="234">
        <v>1</v>
      </c>
      <c r="F3" s="235">
        <v>2</v>
      </c>
      <c r="G3" s="235">
        <v>3</v>
      </c>
      <c r="H3" s="235">
        <v>4</v>
      </c>
      <c r="I3" s="44"/>
    </row>
    <row r="4" spans="2:10" x14ac:dyDescent="0.2">
      <c r="B4" s="787" t="s">
        <v>218</v>
      </c>
      <c r="C4" s="787"/>
      <c r="D4" s="236" t="s">
        <v>27</v>
      </c>
      <c r="E4" s="237">
        <v>227913.85516000006</v>
      </c>
      <c r="F4" s="238">
        <v>24173</v>
      </c>
      <c r="G4" s="238">
        <v>17081</v>
      </c>
      <c r="H4" s="238">
        <v>14814</v>
      </c>
      <c r="I4" s="44"/>
    </row>
    <row r="5" spans="2:10" x14ac:dyDescent="0.2">
      <c r="B5" s="783" t="s">
        <v>114</v>
      </c>
      <c r="C5" s="783"/>
      <c r="D5" s="239" t="s">
        <v>28</v>
      </c>
      <c r="E5" s="240">
        <v>72411.543540000013</v>
      </c>
      <c r="F5" s="241">
        <v>10106</v>
      </c>
      <c r="G5" s="241">
        <v>6856</v>
      </c>
      <c r="H5" s="241">
        <v>5889</v>
      </c>
      <c r="I5" s="94">
        <f>SUM(H5/G5)*100</f>
        <v>85.895565927654602</v>
      </c>
      <c r="J5" s="184"/>
    </row>
    <row r="6" spans="2:10" x14ac:dyDescent="0.2">
      <c r="B6" s="790" t="s">
        <v>2</v>
      </c>
      <c r="C6" s="790"/>
      <c r="D6" s="239" t="s">
        <v>29</v>
      </c>
      <c r="E6" s="240">
        <v>3462.46317</v>
      </c>
      <c r="F6" s="241">
        <v>954</v>
      </c>
      <c r="G6" s="241">
        <v>793</v>
      </c>
      <c r="H6" s="241">
        <v>523</v>
      </c>
      <c r="I6" s="94">
        <f t="shared" ref="I6:I30" si="0">SUM(H6/G6)*100</f>
        <v>65.952080706179061</v>
      </c>
    </row>
    <row r="7" spans="2:10" x14ac:dyDescent="0.2">
      <c r="B7" s="790" t="s">
        <v>3</v>
      </c>
      <c r="C7" s="790"/>
      <c r="D7" s="239" t="s">
        <v>30</v>
      </c>
      <c r="E7" s="240">
        <v>25483.716619999996</v>
      </c>
      <c r="F7" s="241">
        <v>4950</v>
      </c>
      <c r="G7" s="241">
        <v>2960</v>
      </c>
      <c r="H7" s="241">
        <v>2796</v>
      </c>
      <c r="I7" s="94">
        <f t="shared" si="0"/>
        <v>94.459459459459467</v>
      </c>
    </row>
    <row r="8" spans="2:10" x14ac:dyDescent="0.2">
      <c r="B8" s="786" t="s">
        <v>4</v>
      </c>
      <c r="C8" s="786"/>
      <c r="D8" s="239" t="s">
        <v>31</v>
      </c>
      <c r="E8" s="240">
        <v>20822.31018</v>
      </c>
      <c r="F8" s="241">
        <v>1817</v>
      </c>
      <c r="G8" s="241">
        <v>1561</v>
      </c>
      <c r="H8" s="241">
        <v>1487</v>
      </c>
      <c r="I8" s="94">
        <f t="shared" si="0"/>
        <v>95.259449071108264</v>
      </c>
    </row>
    <row r="9" spans="2:10" x14ac:dyDescent="0.2">
      <c r="B9" s="787" t="s">
        <v>5</v>
      </c>
      <c r="C9" s="787"/>
      <c r="D9" s="236" t="s">
        <v>32</v>
      </c>
      <c r="E9" s="237">
        <v>797.64409999999975</v>
      </c>
      <c r="F9" s="238">
        <v>633</v>
      </c>
      <c r="G9" s="238">
        <v>523</v>
      </c>
      <c r="H9" s="238">
        <v>59</v>
      </c>
      <c r="I9" s="94">
        <f t="shared" si="0"/>
        <v>11.281070745697896</v>
      </c>
    </row>
    <row r="10" spans="2:10" x14ac:dyDescent="0.2">
      <c r="B10" s="788" t="s">
        <v>115</v>
      </c>
      <c r="C10" s="788"/>
      <c r="D10" s="236" t="s">
        <v>33</v>
      </c>
      <c r="E10" s="237">
        <v>8.2207800000000013</v>
      </c>
      <c r="F10" s="238">
        <v>18</v>
      </c>
      <c r="G10" s="238">
        <v>14</v>
      </c>
      <c r="H10" s="238">
        <v>1</v>
      </c>
      <c r="I10" s="94">
        <f t="shared" si="0"/>
        <v>7.1428571428571423</v>
      </c>
    </row>
    <row r="11" spans="2:10" x14ac:dyDescent="0.2">
      <c r="B11" s="787" t="s">
        <v>6</v>
      </c>
      <c r="C11" s="787"/>
      <c r="D11" s="236" t="s">
        <v>34</v>
      </c>
      <c r="E11" s="237">
        <v>48.573960000000007</v>
      </c>
      <c r="F11" s="238">
        <v>13</v>
      </c>
      <c r="G11" s="238">
        <v>1</v>
      </c>
      <c r="H11" s="238">
        <v>1</v>
      </c>
      <c r="I11" s="94">
        <f t="shared" si="0"/>
        <v>100</v>
      </c>
    </row>
    <row r="12" spans="2:10" x14ac:dyDescent="0.2">
      <c r="B12" s="787" t="s">
        <v>7</v>
      </c>
      <c r="C12" s="787"/>
      <c r="D12" s="236" t="s">
        <v>35</v>
      </c>
      <c r="E12" s="237">
        <v>0</v>
      </c>
      <c r="F12" s="238">
        <v>0</v>
      </c>
      <c r="G12" s="238">
        <v>0</v>
      </c>
      <c r="H12" s="238">
        <v>0</v>
      </c>
      <c r="I12" s="94"/>
    </row>
    <row r="13" spans="2:10" x14ac:dyDescent="0.2">
      <c r="B13" s="782" t="s">
        <v>8</v>
      </c>
      <c r="C13" s="782"/>
      <c r="D13" s="236" t="s">
        <v>36</v>
      </c>
      <c r="E13" s="237">
        <v>0</v>
      </c>
      <c r="F13" s="238">
        <v>0</v>
      </c>
      <c r="G13" s="238">
        <v>0</v>
      </c>
      <c r="H13" s="238">
        <v>0</v>
      </c>
      <c r="I13" s="94"/>
    </row>
    <row r="14" spans="2:10" x14ac:dyDescent="0.2">
      <c r="B14" s="789" t="s">
        <v>116</v>
      </c>
      <c r="C14" s="789"/>
      <c r="D14" s="236" t="s">
        <v>37</v>
      </c>
      <c r="E14" s="237">
        <v>12.96785</v>
      </c>
      <c r="F14" s="238">
        <v>5</v>
      </c>
      <c r="G14" s="238">
        <v>4</v>
      </c>
      <c r="H14" s="238">
        <v>4</v>
      </c>
      <c r="I14" s="94">
        <f t="shared" si="0"/>
        <v>100</v>
      </c>
    </row>
    <row r="15" spans="2:10" x14ac:dyDescent="0.2">
      <c r="B15" s="787" t="s">
        <v>9</v>
      </c>
      <c r="C15" s="787"/>
      <c r="D15" s="236" t="s">
        <v>26</v>
      </c>
      <c r="E15" s="237">
        <v>644.87469999999996</v>
      </c>
      <c r="F15" s="238">
        <v>178</v>
      </c>
      <c r="G15" s="238">
        <v>85</v>
      </c>
      <c r="H15" s="238">
        <v>35</v>
      </c>
      <c r="I15" s="94">
        <f>SUM(H15/G15)*100</f>
        <v>41.17647058823529</v>
      </c>
    </row>
    <row r="16" spans="2:10" x14ac:dyDescent="0.2">
      <c r="B16" s="782" t="s">
        <v>10</v>
      </c>
      <c r="C16" s="782"/>
      <c r="D16" s="236" t="s">
        <v>38</v>
      </c>
      <c r="E16" s="237">
        <v>1365.74521</v>
      </c>
      <c r="F16" s="238">
        <v>181</v>
      </c>
      <c r="G16" s="238">
        <v>56</v>
      </c>
      <c r="H16" s="238">
        <v>48</v>
      </c>
      <c r="I16" s="94">
        <f t="shared" si="0"/>
        <v>85.714285714285708</v>
      </c>
    </row>
    <row r="17" spans="2:9" x14ac:dyDescent="0.2">
      <c r="B17" s="790" t="s">
        <v>11</v>
      </c>
      <c r="C17" s="790"/>
      <c r="D17" s="239" t="s">
        <v>39</v>
      </c>
      <c r="E17" s="240">
        <v>8086.4974599999996</v>
      </c>
      <c r="F17" s="241">
        <v>993</v>
      </c>
      <c r="G17" s="241">
        <v>914</v>
      </c>
      <c r="H17" s="241">
        <v>864</v>
      </c>
      <c r="I17" s="94">
        <f t="shared" si="0"/>
        <v>94.529540481400446</v>
      </c>
    </row>
    <row r="18" spans="2:9" x14ac:dyDescent="0.2">
      <c r="B18" s="781" t="s">
        <v>12</v>
      </c>
      <c r="C18" s="781"/>
      <c r="D18" s="236" t="s">
        <v>40</v>
      </c>
      <c r="E18" s="237">
        <v>1445.73534</v>
      </c>
      <c r="F18" s="238">
        <v>193</v>
      </c>
      <c r="G18" s="238">
        <v>79</v>
      </c>
      <c r="H18" s="238">
        <v>67</v>
      </c>
      <c r="I18" s="94">
        <f t="shared" si="0"/>
        <v>84.810126582278471</v>
      </c>
    </row>
    <row r="19" spans="2:9" x14ac:dyDescent="0.2">
      <c r="B19" s="782" t="s">
        <v>13</v>
      </c>
      <c r="C19" s="782"/>
      <c r="D19" s="236" t="s">
        <v>41</v>
      </c>
      <c r="E19" s="237">
        <v>13</v>
      </c>
      <c r="F19" s="238">
        <v>1</v>
      </c>
      <c r="G19" s="238">
        <v>0</v>
      </c>
      <c r="H19" s="238">
        <v>0</v>
      </c>
      <c r="I19" s="94"/>
    </row>
    <row r="20" spans="2:9" x14ac:dyDescent="0.2">
      <c r="B20" s="781" t="s">
        <v>14</v>
      </c>
      <c r="C20" s="781"/>
      <c r="D20" s="236" t="s">
        <v>42</v>
      </c>
      <c r="E20" s="237">
        <v>11.678240000000001</v>
      </c>
      <c r="F20" s="238">
        <v>4</v>
      </c>
      <c r="G20" s="238">
        <v>3</v>
      </c>
      <c r="H20" s="238">
        <v>1</v>
      </c>
      <c r="I20" s="94">
        <f>SUM(H20/G20)*100</f>
        <v>33.333333333333329</v>
      </c>
    </row>
    <row r="21" spans="2:9" x14ac:dyDescent="0.2">
      <c r="B21" s="782" t="s">
        <v>15</v>
      </c>
      <c r="C21" s="782"/>
      <c r="D21" s="236" t="s">
        <v>43</v>
      </c>
      <c r="E21" s="237">
        <v>0</v>
      </c>
      <c r="F21" s="238">
        <v>0</v>
      </c>
      <c r="G21" s="238">
        <v>0</v>
      </c>
      <c r="H21" s="238">
        <v>0</v>
      </c>
      <c r="I21" s="94"/>
    </row>
    <row r="22" spans="2:9" x14ac:dyDescent="0.2">
      <c r="B22" s="783" t="s">
        <v>16</v>
      </c>
      <c r="C22" s="783"/>
      <c r="D22" s="239" t="s">
        <v>44</v>
      </c>
      <c r="E22" s="240">
        <v>50336.901399999995</v>
      </c>
      <c r="F22" s="241">
        <v>2256</v>
      </c>
      <c r="G22" s="241">
        <v>1625</v>
      </c>
      <c r="H22" s="241">
        <v>1579</v>
      </c>
      <c r="I22" s="94">
        <f>SUM(H22/G22)*100</f>
        <v>97.169230769230779</v>
      </c>
    </row>
    <row r="23" spans="2:9" ht="15.75" customHeight="1" x14ac:dyDescent="0.2">
      <c r="B23" s="242" t="s">
        <v>117</v>
      </c>
      <c r="C23" s="243" t="s">
        <v>118</v>
      </c>
      <c r="D23" s="236" t="s">
        <v>45</v>
      </c>
      <c r="E23" s="237">
        <v>0</v>
      </c>
      <c r="F23" s="238">
        <v>0</v>
      </c>
      <c r="G23" s="238">
        <v>0</v>
      </c>
      <c r="H23" s="238">
        <v>0</v>
      </c>
      <c r="I23" s="94"/>
    </row>
    <row r="24" spans="2:9" x14ac:dyDescent="0.2">
      <c r="B24" s="783" t="s">
        <v>17</v>
      </c>
      <c r="C24" s="783"/>
      <c r="D24" s="239" t="s">
        <v>46</v>
      </c>
      <c r="E24" s="240">
        <v>42932.378389999998</v>
      </c>
      <c r="F24" s="241">
        <v>1869</v>
      </c>
      <c r="G24" s="241">
        <v>1599</v>
      </c>
      <c r="H24" s="241">
        <v>1453</v>
      </c>
      <c r="I24" s="94">
        <f>SUM(H24/G24)*100</f>
        <v>90.869293308317694</v>
      </c>
    </row>
    <row r="25" spans="2:9" x14ac:dyDescent="0.2">
      <c r="B25" s="242" t="s">
        <v>117</v>
      </c>
      <c r="C25" s="243" t="s">
        <v>118</v>
      </c>
      <c r="D25" s="236" t="s">
        <v>47</v>
      </c>
      <c r="E25" s="237">
        <v>0</v>
      </c>
      <c r="F25" s="238">
        <v>0</v>
      </c>
      <c r="G25" s="238">
        <v>0</v>
      </c>
      <c r="H25" s="238">
        <v>0</v>
      </c>
      <c r="I25" s="94"/>
    </row>
    <row r="26" spans="2:9" x14ac:dyDescent="0.2">
      <c r="B26" s="784" t="s">
        <v>18</v>
      </c>
      <c r="C26" s="785"/>
      <c r="D26" s="236" t="s">
        <v>48</v>
      </c>
      <c r="E26" s="237">
        <v>0</v>
      </c>
      <c r="F26" s="238">
        <v>0</v>
      </c>
      <c r="G26" s="238">
        <v>0</v>
      </c>
      <c r="H26" s="238">
        <v>0</v>
      </c>
      <c r="I26" s="94"/>
    </row>
    <row r="27" spans="2:9" x14ac:dyDescent="0.2">
      <c r="B27" s="782" t="s">
        <v>219</v>
      </c>
      <c r="C27" s="782"/>
      <c r="D27" s="236">
        <v>24</v>
      </c>
      <c r="E27" s="237">
        <v>0</v>
      </c>
      <c r="F27" s="238">
        <v>0</v>
      </c>
      <c r="G27" s="238">
        <v>7</v>
      </c>
      <c r="H27" s="238">
        <v>6</v>
      </c>
      <c r="I27" s="94">
        <f t="shared" si="0"/>
        <v>85.714285714285708</v>
      </c>
    </row>
    <row r="28" spans="2:9" x14ac:dyDescent="0.2">
      <c r="B28" s="779" t="s">
        <v>215</v>
      </c>
      <c r="C28" s="780"/>
      <c r="D28" s="236">
        <v>25</v>
      </c>
      <c r="E28" s="237">
        <v>29.604220000000002</v>
      </c>
      <c r="F28" s="238">
        <v>2</v>
      </c>
      <c r="G28" s="238">
        <v>1</v>
      </c>
      <c r="H28" s="238">
        <v>1</v>
      </c>
      <c r="I28" s="94">
        <f t="shared" si="0"/>
        <v>100</v>
      </c>
    </row>
    <row r="29" spans="2:9" x14ac:dyDescent="0.2">
      <c r="B29" s="779" t="s">
        <v>220</v>
      </c>
      <c r="C29" s="780"/>
      <c r="D29" s="236">
        <v>26</v>
      </c>
      <c r="E29" s="237">
        <v>0</v>
      </c>
      <c r="F29" s="238">
        <v>0</v>
      </c>
      <c r="G29" s="238">
        <v>0</v>
      </c>
      <c r="H29" s="238">
        <v>0</v>
      </c>
      <c r="I29" s="94"/>
    </row>
    <row r="30" spans="2:9" x14ac:dyDescent="0.2">
      <c r="B30" s="779" t="s">
        <v>216</v>
      </c>
      <c r="C30" s="780"/>
      <c r="D30" s="236">
        <v>27</v>
      </c>
      <c r="E30" s="237">
        <v>455827.71032000013</v>
      </c>
      <c r="F30" s="238">
        <v>48346</v>
      </c>
      <c r="G30" s="238">
        <v>34162</v>
      </c>
      <c r="H30" s="238">
        <v>29628</v>
      </c>
      <c r="I30" s="94">
        <f t="shared" si="0"/>
        <v>86.727943328844916</v>
      </c>
    </row>
    <row r="31" spans="2:9" x14ac:dyDescent="0.2">
      <c r="E31" s="194"/>
      <c r="F31" s="206"/>
      <c r="G31" s="206"/>
      <c r="H31" s="206"/>
    </row>
    <row r="32" spans="2:9" x14ac:dyDescent="0.2">
      <c r="B32" s="228" t="s">
        <v>281</v>
      </c>
      <c r="C32" s="229"/>
      <c r="D32" s="230"/>
      <c r="E32" s="231">
        <f>SUM(E5:E8,E22,E24)</f>
        <v>215449.31330000001</v>
      </c>
      <c r="F32" s="232">
        <f>SUM(F5:F8,F22,F24)</f>
        <v>21952</v>
      </c>
      <c r="G32" s="232">
        <f>SUM(G5:G8,G22,G24)</f>
        <v>15394</v>
      </c>
      <c r="H32" s="232">
        <f>SUM(H5:H8,H22,H24)</f>
        <v>13727</v>
      </c>
      <c r="I32" s="94">
        <f>SUM(H32/G32)*100</f>
        <v>89.171105625568401</v>
      </c>
    </row>
    <row r="33" spans="2:10" x14ac:dyDescent="0.2">
      <c r="B33" s="228" t="s">
        <v>281</v>
      </c>
      <c r="C33" s="269"/>
      <c r="D33" s="270"/>
      <c r="E33" s="271">
        <f>SUM('01'!E31,'02'!E31,'03'!E31,'04'!E31,'05'!E31,'06'!E31,'07'!E31,'08'!E31,'09'!E31,'10'!E31,'11'!E31,'12'!E31,'14'!E31,'15'!E31,'63'!E31,'17'!E31,'18'!E31,'19'!E31,'20'!E31,'21'!E31,'62'!E31)</f>
        <v>0</v>
      </c>
      <c r="F33" s="270">
        <f>SUM('01'!F31,'02'!F31,'03'!F31,'04'!F31,'05'!F31,'06'!F31,'07'!F31,'08'!F31,'09'!F31,'10'!F31,'11'!F31,'12'!F31,'14'!F31,'15'!F31,'63'!F31,'17'!F31,'18'!F31,'19'!F31,'20'!F31,'21'!F31,'62'!F31)</f>
        <v>0</v>
      </c>
      <c r="G33" s="270">
        <f>SUM('01'!G31,'02'!G31,'03'!G31,'04'!G31,'05'!G31,'06'!G31,'07'!G31,'08'!G31,'09'!G31,'10'!G31,'11'!G31,'12'!G31,'14'!G31,'15'!G31,'63'!G31,'17'!G31,'18'!G31,'19'!G31,'20'!G31,'21'!G31,'62'!G31)</f>
        <v>0</v>
      </c>
      <c r="H33" s="270">
        <f>SUM('01'!H31,'02'!H31,'03'!H31,'04'!H31,'05'!H31,'06'!H31,'07'!H31,'08'!H31,'09'!H31,'10'!H31,'11'!H31,'12'!H31,'14'!H31,'15'!H31,'63'!H31,'17'!H31,'18'!H31,'19'!H31,'20'!H31,'21'!H31,'62'!H31)</f>
        <v>0</v>
      </c>
      <c r="I33" s="94"/>
    </row>
    <row r="34" spans="2:10" x14ac:dyDescent="0.2">
      <c r="E34" s="194"/>
      <c r="I34" s="94"/>
    </row>
    <row r="35" spans="2:10" x14ac:dyDescent="0.2">
      <c r="B35" s="228" t="s">
        <v>282</v>
      </c>
      <c r="C35" s="229"/>
      <c r="D35" s="230"/>
      <c r="E35" s="231">
        <f>SUM(E5:E8,E17,E22,E24)</f>
        <v>223535.81075999999</v>
      </c>
      <c r="F35" s="232">
        <f>SUM(F5:F8,F17,F22,F24)</f>
        <v>22945</v>
      </c>
      <c r="G35" s="232">
        <f>SUM(G5:G8,G17,G22,G24)</f>
        <v>16308</v>
      </c>
      <c r="H35" s="232">
        <f>SUM(H5:H8,H17,H22,H24)</f>
        <v>14591</v>
      </c>
      <c r="I35" s="94">
        <f>SUM(H35/G35)*100</f>
        <v>89.471425067451563</v>
      </c>
      <c r="J35" s="94">
        <f>SUM(E35)/H35*1000</f>
        <v>15320.115876910422</v>
      </c>
    </row>
    <row r="36" spans="2:10" x14ac:dyDescent="0.2">
      <c r="B36" s="228"/>
      <c r="C36" s="269"/>
      <c r="D36" s="270"/>
      <c r="E36" s="271">
        <f>SUM('01'!E34,'02'!E34,'03'!E34,'04'!E34,'05'!E34,'06'!E34,'07'!E34,'08'!E34,'09'!E34,'10'!E34,'11'!E34,'12'!E34,'14'!E34,'15'!E34,'63'!E34,'17'!E34,'18'!E34,'19'!E34,'20'!E34,'21'!E34,'62'!E34)/1000</f>
        <v>0</v>
      </c>
      <c r="F36" s="270">
        <f>SUM('01'!F34,'02'!F34,'03'!F34,'04'!F34,'05'!F34,'06'!F34,'07'!F34,'08'!F34,'09'!F34,'10'!F34,'11'!F34,'12'!F34,'14'!F34,'15'!F34,'63'!F34,'17'!F34,'18'!F34,'19'!F34,'20'!F34,'21'!F34,'62'!F34)</f>
        <v>0</v>
      </c>
      <c r="G36" s="270">
        <f>SUM('01'!G34,'02'!G34,'03'!G34,'04'!G34,'05'!G34,'06'!G34,'07'!G34,'08'!G34,'09'!G34,'10'!G34,'11'!G34,'12'!G34,'14'!G34,'15'!G34,'63'!G34,'17'!G34,'18'!G34,'19'!G34,'20'!G34,'21'!G34,'62'!G34)</f>
        <v>0</v>
      </c>
      <c r="H36" s="270">
        <f>SUM('01'!H34,'02'!H34,'03'!H34,'04'!H34,'05'!H34,'06'!H34,'07'!H34,'08'!H34,'09'!H34,'10'!H34,'11'!H34,'12'!H34,'14'!H34,'15'!H34,'63'!H34,'17'!H34,'18'!H34,'19'!H34,'20'!H34,'21'!H34,'62'!H34)</f>
        <v>0</v>
      </c>
      <c r="I36" s="44"/>
      <c r="J36" s="94">
        <f>SUM(E5)/H5*1000</f>
        <v>12296.067845135</v>
      </c>
    </row>
  </sheetData>
  <mergeCells count="27">
    <mergeCell ref="B7:C7"/>
    <mergeCell ref="B2:D2"/>
    <mergeCell ref="B3:D3"/>
    <mergeCell ref="B4:C4"/>
    <mergeCell ref="B5:C5"/>
    <mergeCell ref="B6:C6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8:C28"/>
    <mergeCell ref="B29:C29"/>
    <mergeCell ref="B30:C30"/>
    <mergeCell ref="B20:C20"/>
    <mergeCell ref="B21:C21"/>
    <mergeCell ref="B22:C22"/>
    <mergeCell ref="B24:C24"/>
    <mergeCell ref="B26:C26"/>
    <mergeCell ref="B27:C27"/>
  </mergeCells>
  <pageMargins left="0" right="0" top="0" bottom="0.31496062992125984" header="0" footer="0"/>
  <pageSetup paperSize="9" scale="86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CCECFF"/>
    <pageSetUpPr fitToPage="1"/>
  </sheetPr>
  <dimension ref="B1:I36"/>
  <sheetViews>
    <sheetView zoomScale="80" zoomScaleNormal="80" workbookViewId="0">
      <selection activeCell="B1" sqref="B1"/>
    </sheetView>
  </sheetViews>
  <sheetFormatPr defaultRowHeight="14.25" x14ac:dyDescent="0.2"/>
  <cols>
    <col min="1" max="1" width="2" style="44" customWidth="1"/>
    <col min="2" max="2" width="9.140625" style="44"/>
    <col min="3" max="3" width="59.85546875" style="44" customWidth="1"/>
    <col min="4" max="4" width="4.28515625" style="44" customWidth="1"/>
    <col min="5" max="5" width="18" style="44" customWidth="1"/>
    <col min="6" max="6" width="23.28515625" style="44" customWidth="1"/>
    <col min="7" max="7" width="22.5703125" style="44" customWidth="1"/>
    <col min="8" max="8" width="19" style="44" customWidth="1"/>
    <col min="9" max="9" width="9.140625" style="45"/>
    <col min="10" max="16384" width="9.140625" style="44"/>
  </cols>
  <sheetData>
    <row r="1" spans="2:9" x14ac:dyDescent="0.2">
      <c r="B1" s="44" t="s">
        <v>301</v>
      </c>
      <c r="I1" s="44"/>
    </row>
    <row r="2" spans="2:9" ht="52.5" x14ac:dyDescent="0.2">
      <c r="B2" s="793" t="s">
        <v>21</v>
      </c>
      <c r="C2" s="793"/>
      <c r="D2" s="793"/>
      <c r="E2" s="222" t="s">
        <v>110</v>
      </c>
      <c r="F2" s="223" t="s">
        <v>111</v>
      </c>
      <c r="G2" s="223" t="s">
        <v>112</v>
      </c>
      <c r="H2" s="223" t="s">
        <v>113</v>
      </c>
      <c r="I2" s="44"/>
    </row>
    <row r="3" spans="2:9" x14ac:dyDescent="0.2">
      <c r="B3" s="793">
        <v>0</v>
      </c>
      <c r="C3" s="793"/>
      <c r="D3" s="793"/>
      <c r="E3" s="222">
        <v>1</v>
      </c>
      <c r="F3" s="223">
        <v>2</v>
      </c>
      <c r="G3" s="223">
        <v>3</v>
      </c>
      <c r="H3" s="223">
        <v>4</v>
      </c>
      <c r="I3" s="44"/>
    </row>
    <row r="4" spans="2:9" x14ac:dyDescent="0.2">
      <c r="B4" s="787" t="s">
        <v>218</v>
      </c>
      <c r="C4" s="787"/>
      <c r="D4" s="6" t="s">
        <v>27</v>
      </c>
      <c r="E4" s="98">
        <v>159828</v>
      </c>
      <c r="F4" s="19">
        <v>20862</v>
      </c>
      <c r="G4" s="19">
        <v>17283</v>
      </c>
      <c r="H4" s="19">
        <v>14914</v>
      </c>
      <c r="I4" s="44"/>
    </row>
    <row r="5" spans="2:9" x14ac:dyDescent="0.2">
      <c r="B5" s="783" t="s">
        <v>114</v>
      </c>
      <c r="C5" s="783"/>
      <c r="D5" s="224" t="s">
        <v>28</v>
      </c>
      <c r="E5" s="225">
        <v>48823.4</v>
      </c>
      <c r="F5" s="226">
        <v>8841</v>
      </c>
      <c r="G5" s="226">
        <v>5591</v>
      </c>
      <c r="H5" s="226">
        <v>4590</v>
      </c>
      <c r="I5" s="94">
        <f t="shared" ref="I5:I30" si="0">SUM(H5/G5)*100</f>
        <v>82.096226077624763</v>
      </c>
    </row>
    <row r="6" spans="2:9" x14ac:dyDescent="0.2">
      <c r="B6" s="790" t="s">
        <v>2</v>
      </c>
      <c r="C6" s="790"/>
      <c r="D6" s="224" t="s">
        <v>29</v>
      </c>
      <c r="E6" s="225">
        <v>2798.5</v>
      </c>
      <c r="F6" s="226">
        <v>790</v>
      </c>
      <c r="G6" s="226">
        <v>735</v>
      </c>
      <c r="H6" s="226">
        <v>482</v>
      </c>
      <c r="I6" s="94">
        <f t="shared" si="0"/>
        <v>65.578231292517003</v>
      </c>
    </row>
    <row r="7" spans="2:9" x14ac:dyDescent="0.2">
      <c r="B7" s="790" t="s">
        <v>3</v>
      </c>
      <c r="C7" s="790"/>
      <c r="D7" s="224" t="s">
        <v>30</v>
      </c>
      <c r="E7" s="225">
        <v>16205.1</v>
      </c>
      <c r="F7" s="226">
        <v>4396</v>
      </c>
      <c r="G7" s="226">
        <v>3330</v>
      </c>
      <c r="H7" s="226">
        <v>3134</v>
      </c>
      <c r="I7" s="94">
        <f t="shared" si="0"/>
        <v>94.114114114114116</v>
      </c>
    </row>
    <row r="8" spans="2:9" x14ac:dyDescent="0.2">
      <c r="B8" s="786" t="s">
        <v>4</v>
      </c>
      <c r="C8" s="786"/>
      <c r="D8" s="224" t="s">
        <v>31</v>
      </c>
      <c r="E8" s="225">
        <v>16296.5</v>
      </c>
      <c r="F8" s="226">
        <v>1649</v>
      </c>
      <c r="G8" s="226">
        <v>1465</v>
      </c>
      <c r="H8" s="226">
        <v>1348</v>
      </c>
      <c r="I8" s="94">
        <f t="shared" si="0"/>
        <v>92.0136518771331</v>
      </c>
    </row>
    <row r="9" spans="2:9" x14ac:dyDescent="0.2">
      <c r="B9" s="787" t="s">
        <v>5</v>
      </c>
      <c r="C9" s="787"/>
      <c r="D9" s="6" t="s">
        <v>32</v>
      </c>
      <c r="E9" s="98">
        <v>682.6</v>
      </c>
      <c r="F9" s="19">
        <v>579</v>
      </c>
      <c r="G9" s="19">
        <v>498</v>
      </c>
      <c r="H9" s="19">
        <v>53</v>
      </c>
      <c r="I9" s="94">
        <f t="shared" si="0"/>
        <v>10.642570281124499</v>
      </c>
    </row>
    <row r="10" spans="2:9" x14ac:dyDescent="0.2">
      <c r="B10" s="792" t="s">
        <v>115</v>
      </c>
      <c r="C10" s="792"/>
      <c r="D10" s="6" t="s">
        <v>33</v>
      </c>
      <c r="E10" s="98">
        <v>3.2</v>
      </c>
      <c r="F10" s="19">
        <v>7</v>
      </c>
      <c r="G10" s="19">
        <v>6</v>
      </c>
      <c r="H10" s="19">
        <v>0</v>
      </c>
      <c r="I10" s="94">
        <f t="shared" si="0"/>
        <v>0</v>
      </c>
    </row>
    <row r="11" spans="2:9" x14ac:dyDescent="0.2">
      <c r="B11" s="787" t="s">
        <v>6</v>
      </c>
      <c r="C11" s="787"/>
      <c r="D11" s="6" t="s">
        <v>34</v>
      </c>
      <c r="E11" s="98">
        <v>76.2</v>
      </c>
      <c r="F11" s="19">
        <v>19</v>
      </c>
      <c r="G11" s="19">
        <v>6</v>
      </c>
      <c r="H11" s="19">
        <v>4</v>
      </c>
      <c r="I11" s="94">
        <f t="shared" si="0"/>
        <v>66.666666666666657</v>
      </c>
    </row>
    <row r="12" spans="2:9" x14ac:dyDescent="0.2">
      <c r="B12" s="787" t="s">
        <v>7</v>
      </c>
      <c r="C12" s="787"/>
      <c r="D12" s="6" t="s">
        <v>35</v>
      </c>
      <c r="E12" s="98">
        <v>0</v>
      </c>
      <c r="F12" s="19">
        <v>0</v>
      </c>
      <c r="G12" s="19">
        <v>0</v>
      </c>
      <c r="H12" s="19">
        <v>0</v>
      </c>
      <c r="I12" s="94"/>
    </row>
    <row r="13" spans="2:9" x14ac:dyDescent="0.2">
      <c r="B13" s="782" t="s">
        <v>8</v>
      </c>
      <c r="C13" s="782"/>
      <c r="D13" s="6" t="s">
        <v>36</v>
      </c>
      <c r="E13" s="98">
        <v>0</v>
      </c>
      <c r="F13" s="19">
        <v>0</v>
      </c>
      <c r="G13" s="19">
        <v>0</v>
      </c>
      <c r="H13" s="19">
        <v>0</v>
      </c>
      <c r="I13" s="94"/>
    </row>
    <row r="14" spans="2:9" x14ac:dyDescent="0.2">
      <c r="B14" s="789" t="s">
        <v>116</v>
      </c>
      <c r="C14" s="789"/>
      <c r="D14" s="6" t="s">
        <v>37</v>
      </c>
      <c r="E14" s="98">
        <v>15.9</v>
      </c>
      <c r="F14" s="19">
        <v>5</v>
      </c>
      <c r="G14" s="19">
        <v>0</v>
      </c>
      <c r="H14" s="19">
        <v>0</v>
      </c>
      <c r="I14" s="94"/>
    </row>
    <row r="15" spans="2:9" x14ac:dyDescent="0.2">
      <c r="B15" s="787" t="s">
        <v>9</v>
      </c>
      <c r="C15" s="787"/>
      <c r="D15" s="6" t="s">
        <v>26</v>
      </c>
      <c r="E15" s="98">
        <v>599</v>
      </c>
      <c r="F15" s="19">
        <v>171</v>
      </c>
      <c r="G15" s="19">
        <v>51</v>
      </c>
      <c r="H15" s="19">
        <v>25</v>
      </c>
      <c r="I15" s="94">
        <f t="shared" si="0"/>
        <v>49.019607843137251</v>
      </c>
    </row>
    <row r="16" spans="2:9" x14ac:dyDescent="0.2">
      <c r="B16" s="782" t="s">
        <v>10</v>
      </c>
      <c r="C16" s="782"/>
      <c r="D16" s="6" t="s">
        <v>38</v>
      </c>
      <c r="E16" s="98">
        <v>541.79999999999995</v>
      </c>
      <c r="F16" s="19">
        <v>116</v>
      </c>
      <c r="G16" s="19">
        <v>43</v>
      </c>
      <c r="H16" s="19">
        <v>40</v>
      </c>
      <c r="I16" s="94">
        <f t="shared" si="0"/>
        <v>93.023255813953483</v>
      </c>
    </row>
    <row r="17" spans="2:9" x14ac:dyDescent="0.2">
      <c r="B17" s="790" t="s">
        <v>11</v>
      </c>
      <c r="C17" s="790"/>
      <c r="D17" s="224" t="s">
        <v>39</v>
      </c>
      <c r="E17" s="225">
        <v>6944.5</v>
      </c>
      <c r="F17" s="226">
        <v>915</v>
      </c>
      <c r="G17" s="226">
        <v>1192</v>
      </c>
      <c r="H17" s="226">
        <v>1100</v>
      </c>
      <c r="I17" s="94">
        <f t="shared" si="0"/>
        <v>92.281879194630861</v>
      </c>
    </row>
    <row r="18" spans="2:9" x14ac:dyDescent="0.2">
      <c r="B18" s="781" t="s">
        <v>12</v>
      </c>
      <c r="C18" s="781"/>
      <c r="D18" s="6" t="s">
        <v>40</v>
      </c>
      <c r="E18" s="98">
        <v>1148.5999999999999</v>
      </c>
      <c r="F18" s="19">
        <v>192</v>
      </c>
      <c r="G18" s="19">
        <v>111</v>
      </c>
      <c r="H18" s="19">
        <v>100</v>
      </c>
      <c r="I18" s="94">
        <f t="shared" si="0"/>
        <v>90.090090090090087</v>
      </c>
    </row>
    <row r="19" spans="2:9" x14ac:dyDescent="0.2">
      <c r="B19" s="782" t="s">
        <v>13</v>
      </c>
      <c r="C19" s="782"/>
      <c r="D19" s="6" t="s">
        <v>41</v>
      </c>
      <c r="E19" s="98">
        <v>2.6</v>
      </c>
      <c r="F19" s="19">
        <v>1</v>
      </c>
      <c r="G19" s="19">
        <v>0</v>
      </c>
      <c r="H19" s="19">
        <v>0</v>
      </c>
      <c r="I19" s="94"/>
    </row>
    <row r="20" spans="2:9" x14ac:dyDescent="0.2">
      <c r="B20" s="781" t="s">
        <v>14</v>
      </c>
      <c r="C20" s="781"/>
      <c r="D20" s="6" t="s">
        <v>42</v>
      </c>
      <c r="E20" s="98">
        <v>12.3</v>
      </c>
      <c r="F20" s="19">
        <v>7</v>
      </c>
      <c r="G20" s="19">
        <v>4</v>
      </c>
      <c r="H20" s="19">
        <v>4</v>
      </c>
      <c r="I20" s="94">
        <f t="shared" si="0"/>
        <v>100</v>
      </c>
    </row>
    <row r="21" spans="2:9" x14ac:dyDescent="0.2">
      <c r="B21" s="782" t="s">
        <v>15</v>
      </c>
      <c r="C21" s="782"/>
      <c r="D21" s="6" t="s">
        <v>43</v>
      </c>
      <c r="E21" s="98">
        <v>0</v>
      </c>
      <c r="F21" s="19">
        <v>0</v>
      </c>
      <c r="G21" s="19">
        <v>0</v>
      </c>
      <c r="H21" s="19">
        <v>0</v>
      </c>
      <c r="I21" s="94"/>
    </row>
    <row r="22" spans="2:9" x14ac:dyDescent="0.2">
      <c r="B22" s="783" t="s">
        <v>16</v>
      </c>
      <c r="C22" s="783"/>
      <c r="D22" s="224" t="s">
        <v>44</v>
      </c>
      <c r="E22" s="225">
        <v>36183.5</v>
      </c>
      <c r="F22" s="226">
        <v>1764</v>
      </c>
      <c r="G22" s="226">
        <v>2286</v>
      </c>
      <c r="H22" s="226">
        <v>2256</v>
      </c>
      <c r="I22" s="94">
        <f t="shared" si="0"/>
        <v>98.687664041994751</v>
      </c>
    </row>
    <row r="23" spans="2:9" ht="15.75" customHeight="1" x14ac:dyDescent="0.2">
      <c r="B23" s="7" t="s">
        <v>117</v>
      </c>
      <c r="C23" s="182" t="s">
        <v>118</v>
      </c>
      <c r="D23" s="6" t="s">
        <v>45</v>
      </c>
      <c r="E23" s="98">
        <v>42</v>
      </c>
      <c r="F23" s="19">
        <v>2</v>
      </c>
      <c r="G23" s="19">
        <v>0</v>
      </c>
      <c r="H23" s="19">
        <v>0</v>
      </c>
      <c r="I23" s="94"/>
    </row>
    <row r="24" spans="2:9" x14ac:dyDescent="0.2">
      <c r="B24" s="783" t="s">
        <v>17</v>
      </c>
      <c r="C24" s="783"/>
      <c r="D24" s="224" t="s">
        <v>46</v>
      </c>
      <c r="E24" s="225">
        <v>29490.400000000001</v>
      </c>
      <c r="F24" s="226">
        <v>1409</v>
      </c>
      <c r="G24" s="226">
        <v>1847</v>
      </c>
      <c r="H24" s="226">
        <v>1689</v>
      </c>
      <c r="I24" s="94">
        <f t="shared" si="0"/>
        <v>91.445587439090417</v>
      </c>
    </row>
    <row r="25" spans="2:9" x14ac:dyDescent="0.2">
      <c r="B25" s="7" t="s">
        <v>117</v>
      </c>
      <c r="C25" s="182" t="s">
        <v>118</v>
      </c>
      <c r="D25" s="6" t="s">
        <v>47</v>
      </c>
      <c r="E25" s="98">
        <v>0</v>
      </c>
      <c r="F25" s="19">
        <v>0</v>
      </c>
      <c r="G25" s="19">
        <v>0</v>
      </c>
      <c r="H25" s="19">
        <v>0</v>
      </c>
      <c r="I25" s="94"/>
    </row>
    <row r="26" spans="2:9" x14ac:dyDescent="0.2">
      <c r="B26" s="784" t="s">
        <v>18</v>
      </c>
      <c r="C26" s="785"/>
      <c r="D26" s="6" t="s">
        <v>48</v>
      </c>
      <c r="E26" s="98">
        <v>0</v>
      </c>
      <c r="F26" s="19">
        <v>0</v>
      </c>
      <c r="G26" s="19">
        <v>0</v>
      </c>
      <c r="H26" s="19">
        <v>0</v>
      </c>
      <c r="I26" s="94"/>
    </row>
    <row r="27" spans="2:9" x14ac:dyDescent="0.2">
      <c r="B27" s="782" t="s">
        <v>219</v>
      </c>
      <c r="C27" s="782"/>
      <c r="D27" s="6">
        <v>24</v>
      </c>
      <c r="E27" s="98">
        <v>1.3</v>
      </c>
      <c r="F27" s="19">
        <v>0</v>
      </c>
      <c r="G27" s="19">
        <v>116</v>
      </c>
      <c r="H27" s="19">
        <v>88</v>
      </c>
      <c r="I27" s="94">
        <f t="shared" si="0"/>
        <v>75.862068965517238</v>
      </c>
    </row>
    <row r="28" spans="2:9" x14ac:dyDescent="0.2">
      <c r="B28" s="779" t="s">
        <v>215</v>
      </c>
      <c r="C28" s="780"/>
      <c r="D28" s="6">
        <v>25</v>
      </c>
      <c r="E28" s="98">
        <v>2.6</v>
      </c>
      <c r="F28" s="19">
        <v>1</v>
      </c>
      <c r="G28" s="19">
        <v>2</v>
      </c>
      <c r="H28" s="19">
        <v>1</v>
      </c>
      <c r="I28" s="94">
        <f t="shared" si="0"/>
        <v>50</v>
      </c>
    </row>
    <row r="29" spans="2:9" x14ac:dyDescent="0.2">
      <c r="B29" s="779" t="s">
        <v>220</v>
      </c>
      <c r="C29" s="780"/>
      <c r="D29" s="6">
        <v>26</v>
      </c>
      <c r="E29" s="98">
        <v>0</v>
      </c>
      <c r="F29" s="19">
        <v>0</v>
      </c>
      <c r="G29" s="19">
        <v>0</v>
      </c>
      <c r="H29" s="19">
        <v>0</v>
      </c>
      <c r="I29" s="94"/>
    </row>
    <row r="30" spans="2:9" x14ac:dyDescent="0.2">
      <c r="B30" s="779" t="s">
        <v>216</v>
      </c>
      <c r="C30" s="780"/>
      <c r="D30" s="6">
        <v>27</v>
      </c>
      <c r="E30" s="98">
        <v>319698</v>
      </c>
      <c r="F30" s="19">
        <v>41726</v>
      </c>
      <c r="G30" s="19">
        <v>34566</v>
      </c>
      <c r="H30" s="19">
        <v>29828</v>
      </c>
      <c r="I30" s="94">
        <f t="shared" si="0"/>
        <v>86.292888966035989</v>
      </c>
    </row>
    <row r="31" spans="2:9" x14ac:dyDescent="0.2">
      <c r="E31" s="194"/>
      <c r="F31" s="206"/>
      <c r="G31" s="206"/>
      <c r="H31" s="206"/>
    </row>
    <row r="32" spans="2:9" x14ac:dyDescent="0.2">
      <c r="B32" s="228" t="s">
        <v>279</v>
      </c>
      <c r="C32" s="229"/>
      <c r="D32" s="230"/>
      <c r="E32" s="231">
        <f>SUM(E5:E8,E22,E24)</f>
        <v>149797.4</v>
      </c>
      <c r="F32" s="232">
        <f>SUM(F5:F8,F22,F24)</f>
        <v>18849</v>
      </c>
      <c r="G32" s="232">
        <f>SUM(G5:G8,G22,G24)</f>
        <v>15254</v>
      </c>
      <c r="H32" s="232">
        <f>SUM(H5:H8,H22,H24)</f>
        <v>13499</v>
      </c>
      <c r="I32" s="94">
        <f>SUM(H32/G32)*100</f>
        <v>88.49482103054936</v>
      </c>
    </row>
    <row r="33" spans="2:9" x14ac:dyDescent="0.2">
      <c r="B33" s="228" t="s">
        <v>279</v>
      </c>
      <c r="C33" s="269"/>
      <c r="D33" s="270"/>
      <c r="E33" s="271">
        <v>149797.4</v>
      </c>
      <c r="F33" s="270">
        <v>18849</v>
      </c>
      <c r="G33" s="270">
        <v>15254</v>
      </c>
      <c r="H33" s="270">
        <v>13499</v>
      </c>
      <c r="I33" s="94"/>
    </row>
    <row r="34" spans="2:9" x14ac:dyDescent="0.2">
      <c r="E34" s="194"/>
      <c r="I34" s="94"/>
    </row>
    <row r="35" spans="2:9" x14ac:dyDescent="0.2">
      <c r="B35" s="228" t="s">
        <v>283</v>
      </c>
      <c r="C35" s="229"/>
      <c r="D35" s="230"/>
      <c r="E35" s="231">
        <f>SUM(E5:E8,E17,E22,E24)</f>
        <v>156741.9</v>
      </c>
      <c r="F35" s="232">
        <f>SUM(F5:F8,F17,F22,F24)</f>
        <v>19764</v>
      </c>
      <c r="G35" s="232">
        <f>SUM(G5:G8,G17,G22,G24)</f>
        <v>16446</v>
      </c>
      <c r="H35" s="232">
        <f>SUM(H5:H8,H22,H24)</f>
        <v>13499</v>
      </c>
      <c r="I35" s="94">
        <f>SUM(H35/G35)*100</f>
        <v>82.080749118326651</v>
      </c>
    </row>
    <row r="36" spans="2:9" x14ac:dyDescent="0.2">
      <c r="B36" s="228"/>
      <c r="C36" s="269"/>
      <c r="D36" s="270"/>
      <c r="E36" s="271"/>
      <c r="F36" s="270"/>
      <c r="G36" s="270"/>
      <c r="H36" s="270"/>
      <c r="I36" s="44"/>
    </row>
  </sheetData>
  <mergeCells count="27">
    <mergeCell ref="B7:C7"/>
    <mergeCell ref="B2:D2"/>
    <mergeCell ref="B3:D3"/>
    <mergeCell ref="B4:C4"/>
    <mergeCell ref="B5:C5"/>
    <mergeCell ref="B6:C6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8:C28"/>
    <mergeCell ref="B29:C29"/>
    <mergeCell ref="B30:C30"/>
    <mergeCell ref="B20:C20"/>
    <mergeCell ref="B21:C21"/>
    <mergeCell ref="B22:C22"/>
    <mergeCell ref="B24:C24"/>
    <mergeCell ref="B26:C26"/>
    <mergeCell ref="B27:C27"/>
  </mergeCells>
  <pageMargins left="0" right="0" top="0" bottom="0.31496062992125984" header="0" footer="0"/>
  <pageSetup paperSize="9" scale="86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CCECFF"/>
    <pageSetUpPr fitToPage="1"/>
  </sheetPr>
  <dimension ref="B1:I36"/>
  <sheetViews>
    <sheetView zoomScale="80" zoomScaleNormal="80" workbookViewId="0">
      <selection activeCell="B1" sqref="B1"/>
    </sheetView>
  </sheetViews>
  <sheetFormatPr defaultRowHeight="14.25" x14ac:dyDescent="0.2"/>
  <cols>
    <col min="1" max="1" width="2" style="44" customWidth="1"/>
    <col min="2" max="2" width="9.140625" style="44"/>
    <col min="3" max="3" width="59.85546875" style="44" customWidth="1"/>
    <col min="4" max="4" width="5.140625" style="44" customWidth="1"/>
    <col min="5" max="5" width="18" style="44" customWidth="1"/>
    <col min="6" max="6" width="21.85546875" style="44" customWidth="1"/>
    <col min="7" max="7" width="23.28515625" style="44" customWidth="1"/>
    <col min="8" max="8" width="19.5703125" style="44" customWidth="1"/>
    <col min="9" max="9" width="8.85546875" style="45" customWidth="1"/>
    <col min="10" max="16384" width="9.140625" style="44"/>
  </cols>
  <sheetData>
    <row r="1" spans="2:9" x14ac:dyDescent="0.2">
      <c r="B1" s="44" t="s">
        <v>302</v>
      </c>
      <c r="I1" s="44"/>
    </row>
    <row r="2" spans="2:9" ht="59.25" x14ac:dyDescent="0.2">
      <c r="B2" s="791" t="s">
        <v>21</v>
      </c>
      <c r="C2" s="791"/>
      <c r="D2" s="791"/>
      <c r="E2" s="234" t="s">
        <v>442</v>
      </c>
      <c r="F2" s="235" t="s">
        <v>443</v>
      </c>
      <c r="G2" s="235" t="s">
        <v>444</v>
      </c>
      <c r="H2" s="235" t="s">
        <v>445</v>
      </c>
      <c r="I2" s="44"/>
    </row>
    <row r="3" spans="2:9" x14ac:dyDescent="0.2">
      <c r="B3" s="791">
        <v>0</v>
      </c>
      <c r="C3" s="791"/>
      <c r="D3" s="791"/>
      <c r="E3" s="234">
        <v>1</v>
      </c>
      <c r="F3" s="235">
        <v>2</v>
      </c>
      <c r="G3" s="235">
        <v>3</v>
      </c>
      <c r="H3" s="235">
        <v>4</v>
      </c>
      <c r="I3" s="44"/>
    </row>
    <row r="4" spans="2:9" x14ac:dyDescent="0.2">
      <c r="B4" s="787" t="s">
        <v>218</v>
      </c>
      <c r="C4" s="787"/>
      <c r="D4" s="236" t="s">
        <v>27</v>
      </c>
      <c r="E4" s="237">
        <v>181472.5</v>
      </c>
      <c r="F4" s="238">
        <v>25099</v>
      </c>
      <c r="G4" s="238">
        <v>23059</v>
      </c>
      <c r="H4" s="238">
        <v>19999</v>
      </c>
      <c r="I4" s="44"/>
    </row>
    <row r="5" spans="2:9" x14ac:dyDescent="0.2">
      <c r="B5" s="783" t="s">
        <v>114</v>
      </c>
      <c r="C5" s="783"/>
      <c r="D5" s="239" t="s">
        <v>28</v>
      </c>
      <c r="E5" s="240">
        <v>52593.3</v>
      </c>
      <c r="F5" s="241">
        <v>10471</v>
      </c>
      <c r="G5" s="241">
        <v>7126</v>
      </c>
      <c r="H5" s="241">
        <v>6071</v>
      </c>
      <c r="I5" s="94">
        <f t="shared" ref="I5:I30" si="0">SUM(H5/G5)*100</f>
        <v>85.195060342408084</v>
      </c>
    </row>
    <row r="6" spans="2:9" x14ac:dyDescent="0.2">
      <c r="B6" s="790" t="s">
        <v>2</v>
      </c>
      <c r="C6" s="790"/>
      <c r="D6" s="239" t="s">
        <v>29</v>
      </c>
      <c r="E6" s="240">
        <v>4186.7</v>
      </c>
      <c r="F6" s="241">
        <v>1467</v>
      </c>
      <c r="G6" s="241">
        <v>1392</v>
      </c>
      <c r="H6" s="241">
        <v>1046</v>
      </c>
      <c r="I6" s="94">
        <f t="shared" si="0"/>
        <v>75.143678160919535</v>
      </c>
    </row>
    <row r="7" spans="2:9" x14ac:dyDescent="0.2">
      <c r="B7" s="790" t="s">
        <v>3</v>
      </c>
      <c r="C7" s="790"/>
      <c r="D7" s="239" t="s">
        <v>30</v>
      </c>
      <c r="E7" s="240">
        <v>18777</v>
      </c>
      <c r="F7" s="241">
        <v>5002</v>
      </c>
      <c r="G7" s="241">
        <v>3365</v>
      </c>
      <c r="H7" s="241">
        <v>3148</v>
      </c>
      <c r="I7" s="94">
        <f t="shared" si="0"/>
        <v>93.551263001485879</v>
      </c>
    </row>
    <row r="8" spans="2:9" x14ac:dyDescent="0.2">
      <c r="B8" s="786" t="s">
        <v>4</v>
      </c>
      <c r="C8" s="786"/>
      <c r="D8" s="239" t="s">
        <v>31</v>
      </c>
      <c r="E8" s="240">
        <v>15014.9</v>
      </c>
      <c r="F8" s="241">
        <v>1649</v>
      </c>
      <c r="G8" s="241">
        <v>1412</v>
      </c>
      <c r="H8" s="241">
        <v>1334</v>
      </c>
      <c r="I8" s="94">
        <f t="shared" si="0"/>
        <v>94.475920679886684</v>
      </c>
    </row>
    <row r="9" spans="2:9" x14ac:dyDescent="0.2">
      <c r="B9" s="787" t="s">
        <v>5</v>
      </c>
      <c r="C9" s="787"/>
      <c r="D9" s="236" t="s">
        <v>32</v>
      </c>
      <c r="E9" s="237">
        <v>861.7</v>
      </c>
      <c r="F9" s="238">
        <v>773</v>
      </c>
      <c r="G9" s="238">
        <v>614</v>
      </c>
      <c r="H9" s="238">
        <v>79</v>
      </c>
      <c r="I9" s="94">
        <f t="shared" si="0"/>
        <v>12.866449511400651</v>
      </c>
    </row>
    <row r="10" spans="2:9" x14ac:dyDescent="0.2">
      <c r="B10" s="788" t="s">
        <v>115</v>
      </c>
      <c r="C10" s="788"/>
      <c r="D10" s="236" t="s">
        <v>33</v>
      </c>
      <c r="E10" s="237">
        <v>7.5</v>
      </c>
      <c r="F10" s="238">
        <v>18</v>
      </c>
      <c r="G10" s="238">
        <v>15</v>
      </c>
      <c r="H10" s="238">
        <v>1</v>
      </c>
      <c r="I10" s="94">
        <f t="shared" si="0"/>
        <v>6.666666666666667</v>
      </c>
    </row>
    <row r="11" spans="2:9" x14ac:dyDescent="0.2">
      <c r="B11" s="787" t="s">
        <v>6</v>
      </c>
      <c r="C11" s="787"/>
      <c r="D11" s="236" t="s">
        <v>34</v>
      </c>
      <c r="E11" s="237">
        <v>51.899999999999991</v>
      </c>
      <c r="F11" s="238">
        <v>13</v>
      </c>
      <c r="G11" s="238">
        <v>8</v>
      </c>
      <c r="H11" s="238">
        <v>8</v>
      </c>
      <c r="I11" s="94">
        <f t="shared" si="0"/>
        <v>100</v>
      </c>
    </row>
    <row r="12" spans="2:9" x14ac:dyDescent="0.2">
      <c r="B12" s="787" t="s">
        <v>7</v>
      </c>
      <c r="C12" s="787"/>
      <c r="D12" s="236" t="s">
        <v>35</v>
      </c>
      <c r="E12" s="237">
        <v>9.8000000000000007</v>
      </c>
      <c r="F12" s="238">
        <v>1</v>
      </c>
      <c r="G12" s="238">
        <v>1</v>
      </c>
      <c r="H12" s="238">
        <v>1</v>
      </c>
      <c r="I12" s="94">
        <f t="shared" si="0"/>
        <v>100</v>
      </c>
    </row>
    <row r="13" spans="2:9" x14ac:dyDescent="0.2">
      <c r="B13" s="782" t="s">
        <v>8</v>
      </c>
      <c r="C13" s="782"/>
      <c r="D13" s="236" t="s">
        <v>36</v>
      </c>
      <c r="E13" s="237">
        <v>0</v>
      </c>
      <c r="F13" s="238">
        <v>0</v>
      </c>
      <c r="G13" s="238">
        <v>0</v>
      </c>
      <c r="H13" s="238">
        <v>0</v>
      </c>
      <c r="I13" s="94"/>
    </row>
    <row r="14" spans="2:9" x14ac:dyDescent="0.2">
      <c r="B14" s="789" t="s">
        <v>116</v>
      </c>
      <c r="C14" s="789"/>
      <c r="D14" s="236" t="s">
        <v>37</v>
      </c>
      <c r="E14" s="237">
        <v>26.799999999999997</v>
      </c>
      <c r="F14" s="238">
        <v>6</v>
      </c>
      <c r="G14" s="238">
        <v>0</v>
      </c>
      <c r="H14" s="238">
        <v>0</v>
      </c>
      <c r="I14" s="94"/>
    </row>
    <row r="15" spans="2:9" x14ac:dyDescent="0.2">
      <c r="B15" s="787" t="s">
        <v>9</v>
      </c>
      <c r="C15" s="787"/>
      <c r="D15" s="236" t="s">
        <v>26</v>
      </c>
      <c r="E15" s="237">
        <v>277.49999999999994</v>
      </c>
      <c r="F15" s="238">
        <v>120</v>
      </c>
      <c r="G15" s="238">
        <v>160</v>
      </c>
      <c r="H15" s="238">
        <v>33</v>
      </c>
      <c r="I15" s="94">
        <f t="shared" si="0"/>
        <v>20.625</v>
      </c>
    </row>
    <row r="16" spans="2:9" x14ac:dyDescent="0.2">
      <c r="B16" s="782" t="s">
        <v>10</v>
      </c>
      <c r="C16" s="782"/>
      <c r="D16" s="236" t="s">
        <v>38</v>
      </c>
      <c r="E16" s="237">
        <v>529.29999999999995</v>
      </c>
      <c r="F16" s="238">
        <v>133</v>
      </c>
      <c r="G16" s="238">
        <v>92</v>
      </c>
      <c r="H16" s="238">
        <v>70</v>
      </c>
      <c r="I16" s="94">
        <f t="shared" si="0"/>
        <v>76.08695652173914</v>
      </c>
    </row>
    <row r="17" spans="2:9" x14ac:dyDescent="0.2">
      <c r="B17" s="790" t="s">
        <v>11</v>
      </c>
      <c r="C17" s="790"/>
      <c r="D17" s="239" t="s">
        <v>39</v>
      </c>
      <c r="E17" s="240">
        <v>10960.300000000001</v>
      </c>
      <c r="F17" s="241">
        <v>1464</v>
      </c>
      <c r="G17" s="241">
        <v>1298</v>
      </c>
      <c r="H17" s="241">
        <v>1197</v>
      </c>
      <c r="I17" s="94">
        <f t="shared" si="0"/>
        <v>92.218798151001536</v>
      </c>
    </row>
    <row r="18" spans="2:9" x14ac:dyDescent="0.2">
      <c r="B18" s="781" t="s">
        <v>12</v>
      </c>
      <c r="C18" s="781"/>
      <c r="D18" s="236" t="s">
        <v>40</v>
      </c>
      <c r="E18" s="237">
        <v>1530.1</v>
      </c>
      <c r="F18" s="238">
        <v>250</v>
      </c>
      <c r="G18" s="238">
        <v>183</v>
      </c>
      <c r="H18" s="238">
        <v>157</v>
      </c>
      <c r="I18" s="94">
        <f t="shared" si="0"/>
        <v>85.792349726775953</v>
      </c>
    </row>
    <row r="19" spans="2:9" x14ac:dyDescent="0.2">
      <c r="B19" s="782" t="s">
        <v>13</v>
      </c>
      <c r="C19" s="782"/>
      <c r="D19" s="236" t="s">
        <v>41</v>
      </c>
      <c r="E19" s="237">
        <v>0</v>
      </c>
      <c r="F19" s="238">
        <v>0</v>
      </c>
      <c r="G19" s="238">
        <v>1</v>
      </c>
      <c r="H19" s="238">
        <v>1</v>
      </c>
      <c r="I19" s="94">
        <f t="shared" si="0"/>
        <v>100</v>
      </c>
    </row>
    <row r="20" spans="2:9" x14ac:dyDescent="0.2">
      <c r="B20" s="781" t="s">
        <v>14</v>
      </c>
      <c r="C20" s="781"/>
      <c r="D20" s="236" t="s">
        <v>42</v>
      </c>
      <c r="E20" s="237">
        <v>37.799999999999997</v>
      </c>
      <c r="F20" s="238">
        <v>10</v>
      </c>
      <c r="G20" s="238">
        <v>4</v>
      </c>
      <c r="H20" s="238">
        <v>4</v>
      </c>
      <c r="I20" s="94">
        <f t="shared" si="0"/>
        <v>100</v>
      </c>
    </row>
    <row r="21" spans="2:9" x14ac:dyDescent="0.2">
      <c r="B21" s="782" t="s">
        <v>15</v>
      </c>
      <c r="C21" s="782"/>
      <c r="D21" s="236" t="s">
        <v>43</v>
      </c>
      <c r="E21" s="237">
        <v>0</v>
      </c>
      <c r="F21" s="238">
        <v>0</v>
      </c>
      <c r="G21" s="238">
        <v>0</v>
      </c>
      <c r="H21" s="238">
        <v>0</v>
      </c>
      <c r="I21" s="94"/>
    </row>
    <row r="22" spans="2:9" x14ac:dyDescent="0.2">
      <c r="B22" s="783" t="s">
        <v>16</v>
      </c>
      <c r="C22" s="783"/>
      <c r="D22" s="239" t="s">
        <v>44</v>
      </c>
      <c r="E22" s="240">
        <v>43971.199999999997</v>
      </c>
      <c r="F22" s="241">
        <v>2155</v>
      </c>
      <c r="G22" s="241">
        <v>2471</v>
      </c>
      <c r="H22" s="241">
        <v>2404</v>
      </c>
      <c r="I22" s="94">
        <f t="shared" si="0"/>
        <v>97.288547146904094</v>
      </c>
    </row>
    <row r="23" spans="2:9" ht="15.75" customHeight="1" x14ac:dyDescent="0.2">
      <c r="B23" s="242" t="s">
        <v>117</v>
      </c>
      <c r="C23" s="243" t="s">
        <v>118</v>
      </c>
      <c r="D23" s="236" t="s">
        <v>45</v>
      </c>
      <c r="E23" s="237">
        <v>0</v>
      </c>
      <c r="F23" s="238">
        <v>0</v>
      </c>
      <c r="G23" s="238">
        <v>0</v>
      </c>
      <c r="H23" s="238">
        <v>0</v>
      </c>
      <c r="I23" s="94"/>
    </row>
    <row r="24" spans="2:9" x14ac:dyDescent="0.2">
      <c r="B24" s="783" t="s">
        <v>17</v>
      </c>
      <c r="C24" s="783"/>
      <c r="D24" s="239" t="s">
        <v>46</v>
      </c>
      <c r="E24" s="240">
        <v>32604.199999999997</v>
      </c>
      <c r="F24" s="241">
        <v>1565</v>
      </c>
      <c r="G24" s="241">
        <v>2198</v>
      </c>
      <c r="H24" s="241">
        <v>2012</v>
      </c>
      <c r="I24" s="94">
        <f t="shared" si="0"/>
        <v>91.53776160145587</v>
      </c>
    </row>
    <row r="25" spans="2:9" x14ac:dyDescent="0.2">
      <c r="B25" s="242" t="s">
        <v>117</v>
      </c>
      <c r="C25" s="243" t="s">
        <v>118</v>
      </c>
      <c r="D25" s="236" t="s">
        <v>47</v>
      </c>
      <c r="E25" s="237">
        <v>0</v>
      </c>
      <c r="F25" s="238">
        <v>0</v>
      </c>
      <c r="G25" s="238">
        <v>0</v>
      </c>
      <c r="H25" s="238">
        <v>0</v>
      </c>
      <c r="I25" s="94"/>
    </row>
    <row r="26" spans="2:9" x14ac:dyDescent="0.2">
      <c r="B26" s="784" t="s">
        <v>18</v>
      </c>
      <c r="C26" s="785"/>
      <c r="D26" s="236" t="s">
        <v>48</v>
      </c>
      <c r="E26" s="237">
        <v>0</v>
      </c>
      <c r="F26" s="238">
        <v>0</v>
      </c>
      <c r="G26" s="238">
        <v>0</v>
      </c>
      <c r="H26" s="238">
        <v>0</v>
      </c>
      <c r="I26" s="94"/>
    </row>
    <row r="27" spans="2:9" x14ac:dyDescent="0.2">
      <c r="B27" s="782" t="s">
        <v>219</v>
      </c>
      <c r="C27" s="782"/>
      <c r="D27" s="236">
        <v>24</v>
      </c>
      <c r="E27" s="237">
        <v>6.6</v>
      </c>
      <c r="F27" s="238">
        <v>0</v>
      </c>
      <c r="G27" s="238">
        <v>2719</v>
      </c>
      <c r="H27" s="238">
        <v>2433</v>
      </c>
      <c r="I27" s="94">
        <f t="shared" si="0"/>
        <v>89.481426995218825</v>
      </c>
    </row>
    <row r="28" spans="2:9" x14ac:dyDescent="0.2">
      <c r="B28" s="779" t="s">
        <v>215</v>
      </c>
      <c r="C28" s="780"/>
      <c r="D28" s="236">
        <v>25</v>
      </c>
      <c r="E28" s="237">
        <v>25.9</v>
      </c>
      <c r="F28" s="238">
        <v>2</v>
      </c>
      <c r="G28" s="238">
        <v>0</v>
      </c>
      <c r="H28" s="238">
        <v>0</v>
      </c>
      <c r="I28" s="94"/>
    </row>
    <row r="29" spans="2:9" x14ac:dyDescent="0.2">
      <c r="B29" s="779" t="s">
        <v>220</v>
      </c>
      <c r="C29" s="780"/>
      <c r="D29" s="236">
        <v>26</v>
      </c>
      <c r="E29" s="237">
        <v>0</v>
      </c>
      <c r="F29" s="238">
        <v>0</v>
      </c>
      <c r="G29" s="238">
        <v>0</v>
      </c>
      <c r="H29" s="238">
        <v>0</v>
      </c>
      <c r="I29" s="94"/>
    </row>
    <row r="30" spans="2:9" x14ac:dyDescent="0.2">
      <c r="B30" s="779" t="s">
        <v>216</v>
      </c>
      <c r="C30" s="780"/>
      <c r="D30" s="236">
        <v>27</v>
      </c>
      <c r="E30" s="237">
        <v>362945</v>
      </c>
      <c r="F30" s="238">
        <v>50198</v>
      </c>
      <c r="G30" s="238">
        <v>46118</v>
      </c>
      <c r="H30" s="238">
        <v>39998</v>
      </c>
      <c r="I30" s="94">
        <f t="shared" si="0"/>
        <v>86.729693395203611</v>
      </c>
    </row>
    <row r="31" spans="2:9" x14ac:dyDescent="0.2">
      <c r="E31" s="194"/>
      <c r="F31" s="206"/>
      <c r="G31" s="206"/>
      <c r="H31" s="206"/>
    </row>
    <row r="32" spans="2:9" x14ac:dyDescent="0.2">
      <c r="B32" s="228" t="s">
        <v>279</v>
      </c>
      <c r="C32" s="229"/>
      <c r="D32" s="230"/>
      <c r="E32" s="231">
        <f>SUM(E5:E8,E22,E24)</f>
        <v>167147.29999999999</v>
      </c>
      <c r="F32" s="232">
        <f>SUM(F5:F8,F22,F24)</f>
        <v>22309</v>
      </c>
      <c r="G32" s="232">
        <f>SUM(G5:G8,G22,G24)</f>
        <v>17964</v>
      </c>
      <c r="H32" s="232">
        <f>SUM(H5:H8,H22,H24)</f>
        <v>16015</v>
      </c>
      <c r="I32" s="94">
        <f>SUM(H32/G32)*100</f>
        <v>89.150523268759741</v>
      </c>
    </row>
    <row r="33" spans="2:9" x14ac:dyDescent="0.2">
      <c r="B33" s="228" t="s">
        <v>279</v>
      </c>
      <c r="C33" s="269"/>
      <c r="D33" s="270"/>
      <c r="E33" s="271">
        <v>167147.29999999999</v>
      </c>
      <c r="F33" s="270">
        <v>22309</v>
      </c>
      <c r="G33" s="270">
        <v>17964</v>
      </c>
      <c r="H33" s="270">
        <v>16015</v>
      </c>
      <c r="I33" s="94"/>
    </row>
    <row r="34" spans="2:9" x14ac:dyDescent="0.2">
      <c r="E34" s="194"/>
      <c r="I34" s="94"/>
    </row>
    <row r="35" spans="2:9" x14ac:dyDescent="0.2">
      <c r="B35" s="228" t="s">
        <v>282</v>
      </c>
      <c r="C35" s="229"/>
      <c r="D35" s="230"/>
      <c r="E35" s="231">
        <f>SUM(E5:E8,E17,E22,E24)</f>
        <v>178107.59999999998</v>
      </c>
      <c r="F35" s="232">
        <f>SUM(F5:F8,F17,F22,F24)</f>
        <v>23773</v>
      </c>
      <c r="G35" s="232">
        <f>SUM(G5:G8,G17,G22,G24)</f>
        <v>19262</v>
      </c>
      <c r="H35" s="232">
        <f>SUM(H5:H8,H17,H22,H24)</f>
        <v>17212</v>
      </c>
      <c r="I35" s="94">
        <f>SUM(H35/G35)*100</f>
        <v>89.357283771155636</v>
      </c>
    </row>
    <row r="36" spans="2:9" x14ac:dyDescent="0.2">
      <c r="B36" s="228"/>
      <c r="C36" s="269"/>
      <c r="D36" s="270"/>
      <c r="E36" s="271"/>
      <c r="F36" s="270"/>
      <c r="G36" s="270"/>
      <c r="H36" s="270"/>
      <c r="I36" s="44"/>
    </row>
  </sheetData>
  <mergeCells count="27">
    <mergeCell ref="B27:C27"/>
    <mergeCell ref="B20:C20"/>
    <mergeCell ref="B21:C21"/>
    <mergeCell ref="B22:C22"/>
    <mergeCell ref="B24:C24"/>
    <mergeCell ref="B26:C26"/>
    <mergeCell ref="B14:C14"/>
    <mergeCell ref="B15:C15"/>
    <mergeCell ref="B16:C16"/>
    <mergeCell ref="B17:C17"/>
    <mergeCell ref="B18:C18"/>
    <mergeCell ref="B7:C7"/>
    <mergeCell ref="B28:C28"/>
    <mergeCell ref="B29:C29"/>
    <mergeCell ref="B30:C30"/>
    <mergeCell ref="B2:D2"/>
    <mergeCell ref="B3:D3"/>
    <mergeCell ref="B4:C4"/>
    <mergeCell ref="B5:C5"/>
    <mergeCell ref="B6:C6"/>
    <mergeCell ref="B19:C19"/>
    <mergeCell ref="B8:C8"/>
    <mergeCell ref="B9:C9"/>
    <mergeCell ref="B10:C10"/>
    <mergeCell ref="B11:C11"/>
    <mergeCell ref="B12:C12"/>
    <mergeCell ref="B13:C13"/>
  </mergeCells>
  <pageMargins left="0.7" right="0.7" top="0.75" bottom="0.75" header="0.3" footer="0.3"/>
  <pageSetup paperSize="9" scale="7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Arkusz25">
    <tabColor rgb="FFCCECFF"/>
    <pageSetUpPr fitToPage="1"/>
  </sheetPr>
  <dimension ref="B1:I34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44" customWidth="1"/>
    <col min="2" max="2" width="9.140625" style="44"/>
    <col min="3" max="3" width="55.5703125" style="44" customWidth="1"/>
    <col min="4" max="4" width="5.140625" style="44" customWidth="1"/>
    <col min="5" max="5" width="18" style="44" customWidth="1"/>
    <col min="6" max="6" width="21.85546875" style="44" customWidth="1"/>
    <col min="7" max="7" width="22.7109375" style="44" customWidth="1"/>
    <col min="8" max="8" width="19.5703125" style="44" customWidth="1"/>
    <col min="9" max="9" width="10.42578125" style="45" bestFit="1" customWidth="1"/>
    <col min="10" max="16384" width="9.140625" style="44"/>
  </cols>
  <sheetData>
    <row r="1" spans="2:9" x14ac:dyDescent="0.2">
      <c r="B1" s="44" t="s">
        <v>303</v>
      </c>
      <c r="I1" s="44"/>
    </row>
    <row r="2" spans="2:9" ht="52.5" x14ac:dyDescent="0.2">
      <c r="B2" s="793" t="s">
        <v>21</v>
      </c>
      <c r="C2" s="793"/>
      <c r="D2" s="793"/>
      <c r="E2" s="222" t="s">
        <v>110</v>
      </c>
      <c r="F2" s="223" t="s">
        <v>111</v>
      </c>
      <c r="G2" s="223" t="s">
        <v>112</v>
      </c>
      <c r="H2" s="223" t="s">
        <v>113</v>
      </c>
      <c r="I2" s="44"/>
    </row>
    <row r="3" spans="2:9" x14ac:dyDescent="0.2">
      <c r="B3" s="793">
        <v>0</v>
      </c>
      <c r="C3" s="793"/>
      <c r="D3" s="793"/>
      <c r="E3" s="222">
        <v>1</v>
      </c>
      <c r="F3" s="223">
        <v>2</v>
      </c>
      <c r="G3" s="223">
        <v>3</v>
      </c>
      <c r="H3" s="223">
        <v>4</v>
      </c>
      <c r="I3" s="44"/>
    </row>
    <row r="4" spans="2:9" x14ac:dyDescent="0.2">
      <c r="B4" s="787" t="s">
        <v>0</v>
      </c>
      <c r="C4" s="787"/>
      <c r="D4" s="6" t="s">
        <v>27</v>
      </c>
      <c r="E4" s="98">
        <v>278191.19999999995</v>
      </c>
      <c r="F4" s="19">
        <v>33694</v>
      </c>
      <c r="G4" s="19">
        <v>28997</v>
      </c>
      <c r="H4" s="19">
        <v>25053</v>
      </c>
      <c r="I4" s="44"/>
    </row>
    <row r="5" spans="2:9" x14ac:dyDescent="0.2">
      <c r="B5" s="783" t="s">
        <v>114</v>
      </c>
      <c r="C5" s="783"/>
      <c r="D5" s="224" t="s">
        <v>28</v>
      </c>
      <c r="E5" s="225">
        <v>68193.399999999994</v>
      </c>
      <c r="F5" s="226">
        <v>12712</v>
      </c>
      <c r="G5" s="226">
        <v>9501</v>
      </c>
      <c r="H5" s="226">
        <v>8097</v>
      </c>
      <c r="I5" s="94">
        <f t="shared" ref="I5:I27" si="0">SUM(H5/G5)*100</f>
        <v>85.222608146510893</v>
      </c>
    </row>
    <row r="6" spans="2:9" x14ac:dyDescent="0.2">
      <c r="B6" s="790" t="s">
        <v>2</v>
      </c>
      <c r="C6" s="790"/>
      <c r="D6" s="224" t="s">
        <v>29</v>
      </c>
      <c r="E6" s="225">
        <v>4998.5999999999995</v>
      </c>
      <c r="F6" s="226">
        <v>1873</v>
      </c>
      <c r="G6" s="226">
        <v>1685</v>
      </c>
      <c r="H6" s="226">
        <v>1173</v>
      </c>
      <c r="I6" s="94">
        <f t="shared" si="0"/>
        <v>69.614243323442139</v>
      </c>
    </row>
    <row r="7" spans="2:9" x14ac:dyDescent="0.2">
      <c r="B7" s="790" t="s">
        <v>3</v>
      </c>
      <c r="C7" s="790"/>
      <c r="D7" s="224" t="s">
        <v>30</v>
      </c>
      <c r="E7" s="225">
        <v>23029.099999999995</v>
      </c>
      <c r="F7" s="226">
        <v>5531</v>
      </c>
      <c r="G7" s="226">
        <v>3836</v>
      </c>
      <c r="H7" s="226">
        <v>3574</v>
      </c>
      <c r="I7" s="94">
        <f t="shared" si="0"/>
        <v>93.16996871741398</v>
      </c>
    </row>
    <row r="8" spans="2:9" x14ac:dyDescent="0.2">
      <c r="B8" s="786" t="s">
        <v>4</v>
      </c>
      <c r="C8" s="786"/>
      <c r="D8" s="224" t="s">
        <v>31</v>
      </c>
      <c r="E8" s="225">
        <v>20102.900000000001</v>
      </c>
      <c r="F8" s="226">
        <v>2146</v>
      </c>
      <c r="G8" s="226">
        <v>2000</v>
      </c>
      <c r="H8" s="226">
        <v>1884</v>
      </c>
      <c r="I8" s="94">
        <f t="shared" si="0"/>
        <v>94.199999999999989</v>
      </c>
    </row>
    <row r="9" spans="2:9" x14ac:dyDescent="0.2">
      <c r="B9" s="787" t="s">
        <v>5</v>
      </c>
      <c r="C9" s="787"/>
      <c r="D9" s="6" t="s">
        <v>32</v>
      </c>
      <c r="E9" s="98">
        <v>854.5</v>
      </c>
      <c r="F9" s="19">
        <v>807</v>
      </c>
      <c r="G9" s="19">
        <v>636</v>
      </c>
      <c r="H9" s="19">
        <v>90</v>
      </c>
      <c r="I9" s="94">
        <f t="shared" si="0"/>
        <v>14.150943396226415</v>
      </c>
    </row>
    <row r="10" spans="2:9" x14ac:dyDescent="0.2">
      <c r="B10" s="792" t="s">
        <v>115</v>
      </c>
      <c r="C10" s="792"/>
      <c r="D10" s="6" t="s">
        <v>33</v>
      </c>
      <c r="E10" s="98">
        <v>34.1</v>
      </c>
      <c r="F10" s="19">
        <v>80</v>
      </c>
      <c r="G10" s="19">
        <v>77</v>
      </c>
      <c r="H10" s="19">
        <v>3</v>
      </c>
      <c r="I10" s="94">
        <f t="shared" si="0"/>
        <v>3.8961038961038961</v>
      </c>
    </row>
    <row r="11" spans="2:9" x14ac:dyDescent="0.2">
      <c r="B11" s="787" t="s">
        <v>6</v>
      </c>
      <c r="C11" s="787"/>
      <c r="D11" s="6" t="s">
        <v>34</v>
      </c>
      <c r="E11" s="98">
        <v>81.5</v>
      </c>
      <c r="F11" s="19">
        <v>19</v>
      </c>
      <c r="G11" s="19">
        <v>13</v>
      </c>
      <c r="H11" s="19">
        <v>11</v>
      </c>
      <c r="I11" s="94">
        <f t="shared" si="0"/>
        <v>84.615384615384613</v>
      </c>
    </row>
    <row r="12" spans="2:9" x14ac:dyDescent="0.2">
      <c r="B12" s="787" t="s">
        <v>7</v>
      </c>
      <c r="C12" s="787"/>
      <c r="D12" s="6" t="s">
        <v>35</v>
      </c>
      <c r="E12" s="98">
        <v>42</v>
      </c>
      <c r="F12" s="19">
        <v>3</v>
      </c>
      <c r="G12" s="19">
        <v>2</v>
      </c>
      <c r="H12" s="19">
        <v>1</v>
      </c>
      <c r="I12" s="94">
        <f t="shared" si="0"/>
        <v>50</v>
      </c>
    </row>
    <row r="13" spans="2:9" x14ac:dyDescent="0.2">
      <c r="B13" s="782" t="s">
        <v>8</v>
      </c>
      <c r="C13" s="782"/>
      <c r="D13" s="6" t="s">
        <v>36</v>
      </c>
      <c r="E13" s="98">
        <v>18.2</v>
      </c>
      <c r="F13" s="19">
        <v>2</v>
      </c>
      <c r="G13" s="19">
        <v>2</v>
      </c>
      <c r="H13" s="19">
        <v>0</v>
      </c>
      <c r="I13" s="94">
        <f t="shared" si="0"/>
        <v>0</v>
      </c>
    </row>
    <row r="14" spans="2:9" x14ac:dyDescent="0.2">
      <c r="B14" s="789" t="s">
        <v>116</v>
      </c>
      <c r="C14" s="789"/>
      <c r="D14" s="6" t="s">
        <v>37</v>
      </c>
      <c r="E14" s="98">
        <v>23</v>
      </c>
      <c r="F14" s="19">
        <v>6</v>
      </c>
      <c r="G14" s="19">
        <v>0</v>
      </c>
      <c r="H14" s="19">
        <v>0</v>
      </c>
      <c r="I14" s="94"/>
    </row>
    <row r="15" spans="2:9" x14ac:dyDescent="0.2">
      <c r="B15" s="787" t="s">
        <v>9</v>
      </c>
      <c r="C15" s="787"/>
      <c r="D15" s="6" t="s">
        <v>26</v>
      </c>
      <c r="E15" s="98">
        <v>653.30000000000007</v>
      </c>
      <c r="F15" s="19">
        <v>251</v>
      </c>
      <c r="G15" s="19">
        <v>171</v>
      </c>
      <c r="H15" s="19">
        <v>56</v>
      </c>
      <c r="I15" s="94">
        <f t="shared" si="0"/>
        <v>32.748538011695906</v>
      </c>
    </row>
    <row r="16" spans="2:9" x14ac:dyDescent="0.2">
      <c r="B16" s="782" t="s">
        <v>10</v>
      </c>
      <c r="C16" s="782"/>
      <c r="D16" s="6" t="s">
        <v>38</v>
      </c>
      <c r="E16" s="98">
        <v>1053.8</v>
      </c>
      <c r="F16" s="19">
        <v>220</v>
      </c>
      <c r="G16" s="19">
        <v>125</v>
      </c>
      <c r="H16" s="19">
        <v>111</v>
      </c>
      <c r="I16" s="94">
        <f t="shared" si="0"/>
        <v>88.8</v>
      </c>
    </row>
    <row r="17" spans="2:9" x14ac:dyDescent="0.2">
      <c r="B17" s="790" t="s">
        <v>11</v>
      </c>
      <c r="C17" s="790"/>
      <c r="D17" s="224" t="s">
        <v>39</v>
      </c>
      <c r="E17" s="225">
        <v>9338.9</v>
      </c>
      <c r="F17" s="226">
        <v>1263</v>
      </c>
      <c r="G17" s="226">
        <v>1287</v>
      </c>
      <c r="H17" s="226">
        <v>1196</v>
      </c>
      <c r="I17" s="94">
        <f t="shared" si="0"/>
        <v>92.929292929292927</v>
      </c>
    </row>
    <row r="18" spans="2:9" x14ac:dyDescent="0.2">
      <c r="B18" s="781" t="s">
        <v>12</v>
      </c>
      <c r="C18" s="781"/>
      <c r="D18" s="6" t="s">
        <v>40</v>
      </c>
      <c r="E18" s="98">
        <v>2268.8000000000006</v>
      </c>
      <c r="F18" s="19">
        <v>373</v>
      </c>
      <c r="G18" s="19">
        <v>212</v>
      </c>
      <c r="H18" s="19">
        <v>189</v>
      </c>
      <c r="I18" s="94">
        <f t="shared" si="0"/>
        <v>89.15094339622641</v>
      </c>
    </row>
    <row r="19" spans="2:9" x14ac:dyDescent="0.2">
      <c r="B19" s="782" t="s">
        <v>13</v>
      </c>
      <c r="C19" s="782"/>
      <c r="D19" s="6" t="s">
        <v>41</v>
      </c>
      <c r="E19" s="98">
        <v>8.5</v>
      </c>
      <c r="F19" s="19">
        <v>1</v>
      </c>
      <c r="G19" s="19">
        <v>0</v>
      </c>
      <c r="H19" s="19">
        <v>0</v>
      </c>
      <c r="I19" s="94"/>
    </row>
    <row r="20" spans="2:9" x14ac:dyDescent="0.2">
      <c r="B20" s="781" t="s">
        <v>14</v>
      </c>
      <c r="C20" s="781"/>
      <c r="D20" s="6" t="s">
        <v>42</v>
      </c>
      <c r="E20" s="98">
        <v>4.3</v>
      </c>
      <c r="F20" s="19">
        <v>6</v>
      </c>
      <c r="G20" s="19">
        <v>4</v>
      </c>
      <c r="H20" s="19">
        <v>4</v>
      </c>
      <c r="I20" s="94">
        <f t="shared" si="0"/>
        <v>100</v>
      </c>
    </row>
    <row r="21" spans="2:9" x14ac:dyDescent="0.2">
      <c r="B21" s="782" t="s">
        <v>15</v>
      </c>
      <c r="C21" s="782"/>
      <c r="D21" s="6" t="s">
        <v>43</v>
      </c>
      <c r="E21" s="98">
        <v>0</v>
      </c>
      <c r="F21" s="19">
        <v>0</v>
      </c>
      <c r="G21" s="19">
        <v>0</v>
      </c>
      <c r="H21" s="19">
        <v>0</v>
      </c>
      <c r="I21" s="94"/>
    </row>
    <row r="22" spans="2:9" x14ac:dyDescent="0.2">
      <c r="B22" s="783" t="s">
        <v>16</v>
      </c>
      <c r="C22" s="783"/>
      <c r="D22" s="224" t="s">
        <v>44</v>
      </c>
      <c r="E22" s="225">
        <v>50865.80000000001</v>
      </c>
      <c r="F22" s="226">
        <v>2474</v>
      </c>
      <c r="G22" s="226">
        <v>2600</v>
      </c>
      <c r="H22" s="226">
        <v>2521</v>
      </c>
      <c r="I22" s="94">
        <f t="shared" si="0"/>
        <v>96.961538461538467</v>
      </c>
    </row>
    <row r="23" spans="2:9" ht="15.75" customHeight="1" x14ac:dyDescent="0.2">
      <c r="B23" s="7" t="s">
        <v>117</v>
      </c>
      <c r="C23" s="182" t="s">
        <v>118</v>
      </c>
      <c r="D23" s="6" t="s">
        <v>45</v>
      </c>
      <c r="E23" s="98">
        <v>0</v>
      </c>
      <c r="F23" s="19">
        <v>0</v>
      </c>
      <c r="G23" s="19">
        <v>1</v>
      </c>
      <c r="H23" s="19">
        <v>1</v>
      </c>
      <c r="I23" s="94">
        <f t="shared" si="0"/>
        <v>100</v>
      </c>
    </row>
    <row r="24" spans="2:9" x14ac:dyDescent="0.2">
      <c r="B24" s="783" t="s">
        <v>17</v>
      </c>
      <c r="C24" s="783"/>
      <c r="D24" s="224" t="s">
        <v>46</v>
      </c>
      <c r="E24" s="225">
        <v>40188.399999999994</v>
      </c>
      <c r="F24" s="226">
        <v>1931</v>
      </c>
      <c r="G24" s="226">
        <v>2590</v>
      </c>
      <c r="H24" s="226">
        <v>2337</v>
      </c>
      <c r="I24" s="94">
        <f t="shared" si="0"/>
        <v>90.231660231660229</v>
      </c>
    </row>
    <row r="25" spans="2:9" x14ac:dyDescent="0.2">
      <c r="B25" s="787" t="s">
        <v>18</v>
      </c>
      <c r="C25" s="787"/>
      <c r="D25" s="6" t="s">
        <v>47</v>
      </c>
      <c r="E25" s="98">
        <v>189.7</v>
      </c>
      <c r="F25" s="19">
        <v>57</v>
      </c>
      <c r="G25" s="19">
        <v>32</v>
      </c>
      <c r="H25" s="19">
        <v>15</v>
      </c>
      <c r="I25" s="94">
        <f t="shared" si="0"/>
        <v>46.875</v>
      </c>
    </row>
    <row r="26" spans="2:9" x14ac:dyDescent="0.2">
      <c r="B26" s="784" t="s">
        <v>19</v>
      </c>
      <c r="C26" s="785"/>
      <c r="D26" s="6" t="s">
        <v>48</v>
      </c>
      <c r="E26" s="98">
        <v>56242.400000000001</v>
      </c>
      <c r="F26" s="19">
        <v>3939</v>
      </c>
      <c r="G26" s="19">
        <v>4224</v>
      </c>
      <c r="H26" s="19">
        <v>3791</v>
      </c>
      <c r="I26" s="94">
        <f t="shared" si="0"/>
        <v>89.749053030303031</v>
      </c>
    </row>
    <row r="27" spans="2:9" x14ac:dyDescent="0.2">
      <c r="B27" s="782" t="s">
        <v>20</v>
      </c>
      <c r="C27" s="782"/>
      <c r="D27" s="6">
        <v>24</v>
      </c>
      <c r="E27" s="98">
        <v>556382.39999999991</v>
      </c>
      <c r="F27" s="19">
        <v>67388</v>
      </c>
      <c r="G27" s="19">
        <v>57995</v>
      </c>
      <c r="H27" s="19">
        <v>50107</v>
      </c>
      <c r="I27" s="94">
        <f t="shared" si="0"/>
        <v>86.398827485128024</v>
      </c>
    </row>
    <row r="28" spans="2:9" x14ac:dyDescent="0.2">
      <c r="E28" s="194"/>
      <c r="F28" s="206"/>
      <c r="G28" s="206"/>
      <c r="H28" s="206"/>
    </row>
    <row r="29" spans="2:9" x14ac:dyDescent="0.2">
      <c r="B29" s="228" t="s">
        <v>279</v>
      </c>
      <c r="C29" s="229"/>
      <c r="D29" s="230"/>
      <c r="E29" s="231">
        <f>SUM(E5:E8,E22,E24)</f>
        <v>207378.2</v>
      </c>
      <c r="F29" s="232">
        <f>SUM(F5:F8,F22,F24)</f>
        <v>26667</v>
      </c>
      <c r="G29" s="232">
        <f>SUM(G5:G8,G22,G24)</f>
        <v>22212</v>
      </c>
      <c r="H29" s="232">
        <f>SUM(H5:H8,H22,H24)</f>
        <v>19586</v>
      </c>
      <c r="I29" s="94">
        <f>SUM(H29/G29)*100</f>
        <v>88.177561678372058</v>
      </c>
    </row>
    <row r="30" spans="2:9" x14ac:dyDescent="0.2">
      <c r="B30" s="228" t="s">
        <v>279</v>
      </c>
      <c r="C30" s="229"/>
      <c r="D30" s="230"/>
      <c r="E30" s="231">
        <v>207378200</v>
      </c>
      <c r="F30" s="232">
        <f>SUM(F5:F8,F22,F24)</f>
        <v>26667</v>
      </c>
      <c r="G30" s="232">
        <f>SUM(G5:G8,G22,G24)</f>
        <v>22212</v>
      </c>
      <c r="H30" s="232">
        <f>SUM(H5:H8,H22,H24)</f>
        <v>19586</v>
      </c>
      <c r="I30" s="94">
        <f>SUM(H30/G30)*100</f>
        <v>88.177561678372058</v>
      </c>
    </row>
    <row r="31" spans="2:9" x14ac:dyDescent="0.2">
      <c r="E31" s="194"/>
      <c r="I31" s="94"/>
    </row>
    <row r="32" spans="2:9" x14ac:dyDescent="0.2">
      <c r="B32" s="228" t="s">
        <v>282</v>
      </c>
      <c r="C32" s="229"/>
      <c r="D32" s="230"/>
      <c r="E32" s="231">
        <f>SUM(E5:E8,E17,E22,E24)</f>
        <v>216717.1</v>
      </c>
      <c r="F32" s="232">
        <f>SUM(F5:F8,F17,F22,F24)</f>
        <v>27930</v>
      </c>
      <c r="G32" s="232">
        <f>SUM(G5:G8,G17,G22,G24)</f>
        <v>23499</v>
      </c>
      <c r="H32" s="232">
        <f>SUM(H5:H8,H17,H22,H24)</f>
        <v>20782</v>
      </c>
      <c r="I32" s="94">
        <f>SUM(H32/G32)*100</f>
        <v>88.437805864079323</v>
      </c>
    </row>
    <row r="33" spans="2:9" x14ac:dyDescent="0.2">
      <c r="B33" s="228"/>
      <c r="C33" s="229"/>
      <c r="D33" s="230"/>
      <c r="E33" s="231"/>
      <c r="F33" s="232"/>
      <c r="G33" s="232"/>
      <c r="H33" s="232"/>
      <c r="I33" s="44"/>
    </row>
    <row r="34" spans="2:9" x14ac:dyDescent="0.2">
      <c r="B34" s="181"/>
      <c r="C34" s="181"/>
      <c r="D34" s="181"/>
      <c r="E34" s="181"/>
      <c r="F34" s="181"/>
      <c r="G34" s="181"/>
      <c r="H34" s="181"/>
    </row>
  </sheetData>
  <mergeCells count="25">
    <mergeCell ref="B27:C27"/>
    <mergeCell ref="B24:C24"/>
    <mergeCell ref="B25:C25"/>
    <mergeCell ref="B26:C26"/>
    <mergeCell ref="B20:C20"/>
    <mergeCell ref="B21:C21"/>
    <mergeCell ref="B22:C22"/>
    <mergeCell ref="B17:C17"/>
    <mergeCell ref="B18:C18"/>
    <mergeCell ref="B19:C19"/>
    <mergeCell ref="B14:C14"/>
    <mergeCell ref="B15:C15"/>
    <mergeCell ref="B16:C16"/>
    <mergeCell ref="B11:C11"/>
    <mergeCell ref="B12:C12"/>
    <mergeCell ref="B13:C13"/>
    <mergeCell ref="B8:C8"/>
    <mergeCell ref="B9:C9"/>
    <mergeCell ref="B10:C10"/>
    <mergeCell ref="B5:C5"/>
    <mergeCell ref="B6:C6"/>
    <mergeCell ref="B7:C7"/>
    <mergeCell ref="B2:D2"/>
    <mergeCell ref="B3:D3"/>
    <mergeCell ref="B4:C4"/>
  </mergeCells>
  <pageMargins left="0.7" right="0.7" top="0.75" bottom="0.75" header="0.3" footer="0.3"/>
  <pageSetup paperSize="9"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CCECFF"/>
    <pageSetUpPr fitToPage="1"/>
  </sheetPr>
  <dimension ref="B1:I33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44" customWidth="1"/>
    <col min="2" max="2" width="9.140625" style="44"/>
    <col min="3" max="3" width="55.5703125" style="44" customWidth="1"/>
    <col min="4" max="4" width="5.140625" style="44" customWidth="1"/>
    <col min="5" max="5" width="18" style="44" customWidth="1"/>
    <col min="6" max="6" width="21.85546875" style="44" customWidth="1"/>
    <col min="7" max="7" width="22.85546875" style="44" customWidth="1"/>
    <col min="8" max="8" width="19.5703125" style="44" customWidth="1"/>
    <col min="9" max="9" width="10.42578125" style="45" bestFit="1" customWidth="1"/>
    <col min="10" max="16384" width="9.140625" style="44"/>
  </cols>
  <sheetData>
    <row r="1" spans="2:9" x14ac:dyDescent="0.2">
      <c r="B1" s="44" t="s">
        <v>304</v>
      </c>
      <c r="I1" s="44"/>
    </row>
    <row r="2" spans="2:9" ht="59.25" x14ac:dyDescent="0.2">
      <c r="B2" s="791" t="s">
        <v>21</v>
      </c>
      <c r="C2" s="791"/>
      <c r="D2" s="791"/>
      <c r="E2" s="234" t="s">
        <v>442</v>
      </c>
      <c r="F2" s="235" t="s">
        <v>443</v>
      </c>
      <c r="G2" s="235" t="s">
        <v>444</v>
      </c>
      <c r="H2" s="235" t="s">
        <v>445</v>
      </c>
      <c r="I2" s="44"/>
    </row>
    <row r="3" spans="2:9" x14ac:dyDescent="0.2">
      <c r="B3" s="791">
        <v>0</v>
      </c>
      <c r="C3" s="791"/>
      <c r="D3" s="791"/>
      <c r="E3" s="234">
        <v>1</v>
      </c>
      <c r="F3" s="235">
        <v>2</v>
      </c>
      <c r="G3" s="235">
        <v>3</v>
      </c>
      <c r="H3" s="235">
        <v>4</v>
      </c>
      <c r="I3" s="44"/>
    </row>
    <row r="4" spans="2:9" x14ac:dyDescent="0.2">
      <c r="B4" s="787" t="s">
        <v>0</v>
      </c>
      <c r="C4" s="787"/>
      <c r="D4" s="236" t="s">
        <v>27</v>
      </c>
      <c r="E4" s="237">
        <v>340704.79999999987</v>
      </c>
      <c r="F4" s="238">
        <v>41951</v>
      </c>
      <c r="G4" s="238">
        <v>28134</v>
      </c>
      <c r="H4" s="238">
        <v>23547</v>
      </c>
      <c r="I4" s="44"/>
    </row>
    <row r="5" spans="2:9" x14ac:dyDescent="0.2">
      <c r="B5" s="783" t="s">
        <v>114</v>
      </c>
      <c r="C5" s="783"/>
      <c r="D5" s="239" t="s">
        <v>28</v>
      </c>
      <c r="E5" s="240">
        <v>86595.300000000017</v>
      </c>
      <c r="F5" s="241">
        <v>15808</v>
      </c>
      <c r="G5" s="241">
        <v>11017</v>
      </c>
      <c r="H5" s="241">
        <v>9307</v>
      </c>
      <c r="I5" s="94">
        <f t="shared" ref="I5:I27" si="0">SUM(H5/G5)*100</f>
        <v>84.478533176000724</v>
      </c>
    </row>
    <row r="6" spans="2:9" x14ac:dyDescent="0.2">
      <c r="B6" s="790" t="s">
        <v>2</v>
      </c>
      <c r="C6" s="790"/>
      <c r="D6" s="239" t="s">
        <v>29</v>
      </c>
      <c r="E6" s="240">
        <v>6180.6</v>
      </c>
      <c r="F6" s="241">
        <v>2120</v>
      </c>
      <c r="G6" s="241">
        <v>1847</v>
      </c>
      <c r="H6" s="241">
        <v>1191</v>
      </c>
      <c r="I6" s="94">
        <f t="shared" si="0"/>
        <v>64.48294531672984</v>
      </c>
    </row>
    <row r="7" spans="2:9" x14ac:dyDescent="0.2">
      <c r="B7" s="790" t="s">
        <v>3</v>
      </c>
      <c r="C7" s="790"/>
      <c r="D7" s="239" t="s">
        <v>30</v>
      </c>
      <c r="E7" s="240">
        <v>22957.3</v>
      </c>
      <c r="F7" s="241">
        <v>5479</v>
      </c>
      <c r="G7" s="241">
        <v>3520</v>
      </c>
      <c r="H7" s="241">
        <v>3187</v>
      </c>
      <c r="I7" s="94">
        <f t="shared" si="0"/>
        <v>90.539772727272734</v>
      </c>
    </row>
    <row r="8" spans="2:9" x14ac:dyDescent="0.2">
      <c r="B8" s="786" t="s">
        <v>4</v>
      </c>
      <c r="C8" s="786"/>
      <c r="D8" s="239" t="s">
        <v>31</v>
      </c>
      <c r="E8" s="240">
        <v>27307.699999999993</v>
      </c>
      <c r="F8" s="241">
        <v>2740</v>
      </c>
      <c r="G8" s="241">
        <v>2360</v>
      </c>
      <c r="H8" s="241">
        <v>2165</v>
      </c>
      <c r="I8" s="94">
        <f t="shared" si="0"/>
        <v>91.737288135593218</v>
      </c>
    </row>
    <row r="9" spans="2:9" x14ac:dyDescent="0.2">
      <c r="B9" s="787" t="s">
        <v>5</v>
      </c>
      <c r="C9" s="787"/>
      <c r="D9" s="236" t="s">
        <v>32</v>
      </c>
      <c r="E9" s="237">
        <v>1009.1000000000001</v>
      </c>
      <c r="F9" s="238">
        <v>1024</v>
      </c>
      <c r="G9" s="238">
        <v>797</v>
      </c>
      <c r="H9" s="238">
        <v>129</v>
      </c>
      <c r="I9" s="94">
        <f t="shared" si="0"/>
        <v>16.185696361355081</v>
      </c>
    </row>
    <row r="10" spans="2:9" x14ac:dyDescent="0.2">
      <c r="B10" s="788" t="s">
        <v>115</v>
      </c>
      <c r="C10" s="788"/>
      <c r="D10" s="236" t="s">
        <v>33</v>
      </c>
      <c r="E10" s="237">
        <v>55.9</v>
      </c>
      <c r="F10" s="238">
        <v>118</v>
      </c>
      <c r="G10" s="238">
        <v>116</v>
      </c>
      <c r="H10" s="238">
        <v>6</v>
      </c>
      <c r="I10" s="94">
        <f t="shared" si="0"/>
        <v>5.1724137931034484</v>
      </c>
    </row>
    <row r="11" spans="2:9" x14ac:dyDescent="0.2">
      <c r="B11" s="787" t="s">
        <v>6</v>
      </c>
      <c r="C11" s="787"/>
      <c r="D11" s="236" t="s">
        <v>34</v>
      </c>
      <c r="E11" s="237">
        <v>102.30000000000001</v>
      </c>
      <c r="F11" s="238">
        <v>26</v>
      </c>
      <c r="G11" s="238">
        <v>13</v>
      </c>
      <c r="H11" s="238">
        <v>10</v>
      </c>
      <c r="I11" s="94">
        <f t="shared" si="0"/>
        <v>76.923076923076934</v>
      </c>
    </row>
    <row r="12" spans="2:9" x14ac:dyDescent="0.2">
      <c r="B12" s="787" t="s">
        <v>7</v>
      </c>
      <c r="C12" s="787"/>
      <c r="D12" s="236" t="s">
        <v>35</v>
      </c>
      <c r="E12" s="237">
        <v>56.199999999999996</v>
      </c>
      <c r="F12" s="238">
        <v>6</v>
      </c>
      <c r="G12" s="238">
        <v>3</v>
      </c>
      <c r="H12" s="238">
        <v>3</v>
      </c>
      <c r="I12" s="94">
        <f t="shared" si="0"/>
        <v>100</v>
      </c>
    </row>
    <row r="13" spans="2:9" x14ac:dyDescent="0.2">
      <c r="B13" s="782" t="s">
        <v>8</v>
      </c>
      <c r="C13" s="782"/>
      <c r="D13" s="236" t="s">
        <v>36</v>
      </c>
      <c r="E13" s="237">
        <v>11.6</v>
      </c>
      <c r="F13" s="238">
        <v>3</v>
      </c>
      <c r="G13" s="238">
        <v>0</v>
      </c>
      <c r="H13" s="238">
        <v>0</v>
      </c>
      <c r="I13" s="94"/>
    </row>
    <row r="14" spans="2:9" x14ac:dyDescent="0.2">
      <c r="B14" s="789" t="s">
        <v>116</v>
      </c>
      <c r="C14" s="789"/>
      <c r="D14" s="236" t="s">
        <v>37</v>
      </c>
      <c r="E14" s="237">
        <v>42.4</v>
      </c>
      <c r="F14" s="238">
        <v>6</v>
      </c>
      <c r="G14" s="238">
        <v>0</v>
      </c>
      <c r="H14" s="238">
        <v>0</v>
      </c>
      <c r="I14" s="94"/>
    </row>
    <row r="15" spans="2:9" x14ac:dyDescent="0.2">
      <c r="B15" s="787" t="s">
        <v>9</v>
      </c>
      <c r="C15" s="787"/>
      <c r="D15" s="236" t="s">
        <v>26</v>
      </c>
      <c r="E15" s="237">
        <v>763.90000000000009</v>
      </c>
      <c r="F15" s="238">
        <v>308</v>
      </c>
      <c r="G15" s="238">
        <v>244</v>
      </c>
      <c r="H15" s="238">
        <v>85</v>
      </c>
      <c r="I15" s="94">
        <f t="shared" si="0"/>
        <v>34.83606557377049</v>
      </c>
    </row>
    <row r="16" spans="2:9" x14ac:dyDescent="0.2">
      <c r="B16" s="782" t="s">
        <v>10</v>
      </c>
      <c r="C16" s="782"/>
      <c r="D16" s="236" t="s">
        <v>38</v>
      </c>
      <c r="E16" s="237">
        <v>1218.1999999999998</v>
      </c>
      <c r="F16" s="238">
        <v>253</v>
      </c>
      <c r="G16" s="238">
        <v>114</v>
      </c>
      <c r="H16" s="238">
        <v>99</v>
      </c>
      <c r="I16" s="94">
        <f t="shared" si="0"/>
        <v>86.842105263157904</v>
      </c>
    </row>
    <row r="17" spans="2:9" x14ac:dyDescent="0.2">
      <c r="B17" s="790" t="s">
        <v>11</v>
      </c>
      <c r="C17" s="790"/>
      <c r="D17" s="239" t="s">
        <v>39</v>
      </c>
      <c r="E17" s="240">
        <v>10364.599999999999</v>
      </c>
      <c r="F17" s="241">
        <v>1389</v>
      </c>
      <c r="G17" s="241">
        <v>1138</v>
      </c>
      <c r="H17" s="241">
        <v>1044</v>
      </c>
      <c r="I17" s="94">
        <f t="shared" si="0"/>
        <v>91.739894551845353</v>
      </c>
    </row>
    <row r="18" spans="2:9" x14ac:dyDescent="0.2">
      <c r="B18" s="781" t="s">
        <v>12</v>
      </c>
      <c r="C18" s="781"/>
      <c r="D18" s="236" t="s">
        <v>40</v>
      </c>
      <c r="E18" s="237">
        <v>2419.1999999999998</v>
      </c>
      <c r="F18" s="238">
        <v>438</v>
      </c>
      <c r="G18" s="238">
        <v>191</v>
      </c>
      <c r="H18" s="238">
        <v>158</v>
      </c>
      <c r="I18" s="94">
        <f t="shared" si="0"/>
        <v>82.722513089005233</v>
      </c>
    </row>
    <row r="19" spans="2:9" x14ac:dyDescent="0.2">
      <c r="B19" s="782" t="s">
        <v>13</v>
      </c>
      <c r="C19" s="782"/>
      <c r="D19" s="236" t="s">
        <v>41</v>
      </c>
      <c r="E19" s="237">
        <v>3.5</v>
      </c>
      <c r="F19" s="238">
        <v>1</v>
      </c>
      <c r="G19" s="238">
        <v>0</v>
      </c>
      <c r="H19" s="238">
        <v>0</v>
      </c>
      <c r="I19" s="94"/>
    </row>
    <row r="20" spans="2:9" x14ac:dyDescent="0.2">
      <c r="B20" s="781" t="s">
        <v>14</v>
      </c>
      <c r="C20" s="781"/>
      <c r="D20" s="236" t="s">
        <v>42</v>
      </c>
      <c r="E20" s="237">
        <v>46.900000000000006</v>
      </c>
      <c r="F20" s="238">
        <v>15</v>
      </c>
      <c r="G20" s="238">
        <v>6</v>
      </c>
      <c r="H20" s="238">
        <v>5</v>
      </c>
      <c r="I20" s="94">
        <f t="shared" si="0"/>
        <v>83.333333333333343</v>
      </c>
    </row>
    <row r="21" spans="2:9" x14ac:dyDescent="0.2">
      <c r="B21" s="782" t="s">
        <v>15</v>
      </c>
      <c r="C21" s="782"/>
      <c r="D21" s="236" t="s">
        <v>43</v>
      </c>
      <c r="E21" s="237">
        <v>0</v>
      </c>
      <c r="F21" s="238">
        <v>0</v>
      </c>
      <c r="G21" s="238">
        <v>0</v>
      </c>
      <c r="H21" s="238">
        <v>0</v>
      </c>
      <c r="I21" s="94"/>
    </row>
    <row r="22" spans="2:9" x14ac:dyDescent="0.2">
      <c r="B22" s="783" t="s">
        <v>16</v>
      </c>
      <c r="C22" s="783"/>
      <c r="D22" s="239" t="s">
        <v>44</v>
      </c>
      <c r="E22" s="240">
        <v>56559</v>
      </c>
      <c r="F22" s="241">
        <v>2671</v>
      </c>
      <c r="G22" s="241">
        <v>3056</v>
      </c>
      <c r="H22" s="241">
        <v>2913</v>
      </c>
      <c r="I22" s="94">
        <f t="shared" si="0"/>
        <v>95.320680628272243</v>
      </c>
    </row>
    <row r="23" spans="2:9" ht="15.75" customHeight="1" x14ac:dyDescent="0.2">
      <c r="B23" s="242" t="s">
        <v>117</v>
      </c>
      <c r="C23" s="243" t="s">
        <v>118</v>
      </c>
      <c r="D23" s="236" t="s">
        <v>45</v>
      </c>
      <c r="E23" s="237">
        <v>13</v>
      </c>
      <c r="F23" s="238">
        <v>1</v>
      </c>
      <c r="G23" s="238">
        <v>0</v>
      </c>
      <c r="H23" s="238">
        <v>0</v>
      </c>
      <c r="I23" s="94"/>
    </row>
    <row r="24" spans="2:9" x14ac:dyDescent="0.2">
      <c r="B24" s="783" t="s">
        <v>17</v>
      </c>
      <c r="C24" s="783"/>
      <c r="D24" s="239" t="s">
        <v>46</v>
      </c>
      <c r="E24" s="240">
        <v>49408.599999999991</v>
      </c>
      <c r="F24" s="241">
        <v>2345</v>
      </c>
      <c r="G24" s="241">
        <v>2931</v>
      </c>
      <c r="H24" s="241">
        <v>2540</v>
      </c>
      <c r="I24" s="94">
        <f t="shared" si="0"/>
        <v>86.659843056977138</v>
      </c>
    </row>
    <row r="25" spans="2:9" x14ac:dyDescent="0.2">
      <c r="B25" s="787" t="s">
        <v>18</v>
      </c>
      <c r="C25" s="787"/>
      <c r="D25" s="236" t="s">
        <v>47</v>
      </c>
      <c r="E25" s="237">
        <v>453.1</v>
      </c>
      <c r="F25" s="238">
        <v>96</v>
      </c>
      <c r="G25" s="238">
        <v>121</v>
      </c>
      <c r="H25" s="238">
        <v>75</v>
      </c>
      <c r="I25" s="94">
        <f t="shared" si="0"/>
        <v>61.983471074380169</v>
      </c>
    </row>
    <row r="26" spans="2:9" x14ac:dyDescent="0.2">
      <c r="B26" s="784" t="s">
        <v>19</v>
      </c>
      <c r="C26" s="785"/>
      <c r="D26" s="236" t="s">
        <v>48</v>
      </c>
      <c r="E26" s="237">
        <v>75149.400000000009</v>
      </c>
      <c r="F26" s="238">
        <v>7105</v>
      </c>
      <c r="G26" s="238">
        <v>660</v>
      </c>
      <c r="H26" s="238">
        <v>630</v>
      </c>
      <c r="I26" s="94">
        <f t="shared" si="0"/>
        <v>95.454545454545453</v>
      </c>
    </row>
    <row r="27" spans="2:9" x14ac:dyDescent="0.2">
      <c r="B27" s="782" t="s">
        <v>20</v>
      </c>
      <c r="C27" s="782"/>
      <c r="D27" s="236">
        <v>24</v>
      </c>
      <c r="E27" s="237">
        <v>681422.59999999974</v>
      </c>
      <c r="F27" s="238">
        <v>83903</v>
      </c>
      <c r="G27" s="238">
        <v>56268</v>
      </c>
      <c r="H27" s="238">
        <v>47094</v>
      </c>
      <c r="I27" s="94">
        <f t="shared" si="0"/>
        <v>83.695883983791859</v>
      </c>
    </row>
    <row r="28" spans="2:9" x14ac:dyDescent="0.2">
      <c r="E28" s="194"/>
      <c r="F28" s="206"/>
      <c r="G28" s="206"/>
      <c r="H28" s="206"/>
    </row>
    <row r="29" spans="2:9" x14ac:dyDescent="0.2">
      <c r="B29" s="228" t="s">
        <v>279</v>
      </c>
      <c r="C29" s="229"/>
      <c r="D29" s="230"/>
      <c r="E29" s="231">
        <f>SUM(E5:E8,E22,E24)</f>
        <v>249008.5</v>
      </c>
      <c r="F29" s="232">
        <f>SUM(F5:F8,F22,F24)</f>
        <v>31163</v>
      </c>
      <c r="G29" s="232">
        <f>SUM(G5:G8,G22,G24)</f>
        <v>24731</v>
      </c>
      <c r="H29" s="232">
        <f>SUM(H5:H8,H22,H24)</f>
        <v>21303</v>
      </c>
      <c r="I29" s="94">
        <f>SUM(H29/G29)*100</f>
        <v>86.138854069790952</v>
      </c>
    </row>
    <row r="30" spans="2:9" x14ac:dyDescent="0.2">
      <c r="B30" s="228" t="s">
        <v>279</v>
      </c>
      <c r="C30" s="229"/>
      <c r="D30" s="230"/>
      <c r="E30" s="231">
        <f>SUM(E29*1000)</f>
        <v>249008500</v>
      </c>
      <c r="F30" s="232">
        <f>SUM(F5:F8,F22,F24)</f>
        <v>31163</v>
      </c>
      <c r="G30" s="232">
        <f>SUM(G5:G8,G22,G24)</f>
        <v>24731</v>
      </c>
      <c r="H30" s="232">
        <f>SUM(H5:H8,H22,H24)</f>
        <v>21303</v>
      </c>
    </row>
    <row r="31" spans="2:9" x14ac:dyDescent="0.2">
      <c r="E31" s="194"/>
    </row>
    <row r="32" spans="2:9" x14ac:dyDescent="0.2">
      <c r="B32" s="228" t="s">
        <v>282</v>
      </c>
      <c r="C32" s="229"/>
      <c r="D32" s="230"/>
      <c r="E32" s="231">
        <f>SUM(E5:E8,E17,E22,E24)</f>
        <v>259373.10000000003</v>
      </c>
      <c r="F32" s="232">
        <f>SUM(F5:F8,F17,F22,F24)</f>
        <v>32552</v>
      </c>
      <c r="G32" s="232">
        <f>SUM(G5:G8,G17,G22,G24)</f>
        <v>25869</v>
      </c>
      <c r="H32" s="232">
        <f>SUM(H5:H8,H17,H22,H24)</f>
        <v>22347</v>
      </c>
      <c r="I32" s="94">
        <f>SUM(H32/G32)*100</f>
        <v>86.38524875333411</v>
      </c>
    </row>
    <row r="33" spans="2:8" x14ac:dyDescent="0.2">
      <c r="B33" s="228"/>
      <c r="C33" s="229"/>
      <c r="D33" s="230"/>
      <c r="E33" s="231"/>
      <c r="F33" s="232"/>
      <c r="G33" s="232"/>
      <c r="H33" s="232"/>
    </row>
  </sheetData>
  <mergeCells count="25">
    <mergeCell ref="B27:C27"/>
    <mergeCell ref="B20:C20"/>
    <mergeCell ref="B21:C21"/>
    <mergeCell ref="B22:C22"/>
    <mergeCell ref="B24:C24"/>
    <mergeCell ref="B25:C25"/>
    <mergeCell ref="B26:C26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7:C7"/>
    <mergeCell ref="B2:D2"/>
    <mergeCell ref="B3:D3"/>
    <mergeCell ref="B4:C4"/>
    <mergeCell ref="B5:C5"/>
    <mergeCell ref="B6:C6"/>
  </mergeCells>
  <pageMargins left="0.7" right="0.7" top="0.75" bottom="0.75" header="0.3" footer="0.3"/>
  <pageSetup paperSize="9"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CCECFF"/>
    <pageSetUpPr fitToPage="1"/>
  </sheetPr>
  <dimension ref="B1:I33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44" customWidth="1"/>
    <col min="2" max="2" width="9.140625" style="44"/>
    <col min="3" max="3" width="55.5703125" style="44" customWidth="1"/>
    <col min="4" max="4" width="5.140625" style="44" customWidth="1"/>
    <col min="5" max="5" width="18" style="44" customWidth="1"/>
    <col min="6" max="6" width="21.85546875" style="44" customWidth="1"/>
    <col min="7" max="7" width="23" style="44" customWidth="1"/>
    <col min="8" max="8" width="19.5703125" style="44" customWidth="1"/>
    <col min="9" max="9" width="10.42578125" style="45" bestFit="1" customWidth="1"/>
    <col min="10" max="16384" width="9.140625" style="44"/>
  </cols>
  <sheetData>
    <row r="1" spans="2:9" x14ac:dyDescent="0.2">
      <c r="B1" s="44" t="s">
        <v>305</v>
      </c>
      <c r="I1" s="44"/>
    </row>
    <row r="2" spans="2:9" ht="59.25" x14ac:dyDescent="0.2">
      <c r="B2" s="791" t="s">
        <v>21</v>
      </c>
      <c r="C2" s="791"/>
      <c r="D2" s="791"/>
      <c r="E2" s="234" t="s">
        <v>442</v>
      </c>
      <c r="F2" s="235" t="s">
        <v>443</v>
      </c>
      <c r="G2" s="235" t="s">
        <v>444</v>
      </c>
      <c r="H2" s="235" t="s">
        <v>445</v>
      </c>
      <c r="I2" s="44"/>
    </row>
    <row r="3" spans="2:9" x14ac:dyDescent="0.2">
      <c r="B3" s="791">
        <v>0</v>
      </c>
      <c r="C3" s="791"/>
      <c r="D3" s="791"/>
      <c r="E3" s="234">
        <v>1</v>
      </c>
      <c r="F3" s="235">
        <v>2</v>
      </c>
      <c r="G3" s="235">
        <v>3</v>
      </c>
      <c r="H3" s="235">
        <v>4</v>
      </c>
      <c r="I3" s="44"/>
    </row>
    <row r="4" spans="2:9" x14ac:dyDescent="0.2">
      <c r="B4" s="787" t="s">
        <v>0</v>
      </c>
      <c r="C4" s="787"/>
      <c r="D4" s="236" t="s">
        <v>27</v>
      </c>
      <c r="E4" s="237">
        <v>322493.40000000002</v>
      </c>
      <c r="F4" s="238">
        <v>43163</v>
      </c>
      <c r="G4" s="238">
        <v>30941</v>
      </c>
      <c r="H4" s="238">
        <v>24255</v>
      </c>
      <c r="I4" s="44"/>
    </row>
    <row r="5" spans="2:9" x14ac:dyDescent="0.2">
      <c r="B5" s="783" t="s">
        <v>114</v>
      </c>
      <c r="C5" s="783"/>
      <c r="D5" s="239" t="s">
        <v>28</v>
      </c>
      <c r="E5" s="240">
        <v>100114.6</v>
      </c>
      <c r="F5" s="241">
        <v>18800</v>
      </c>
      <c r="G5" s="241">
        <v>13100</v>
      </c>
      <c r="H5" s="241">
        <v>10734</v>
      </c>
      <c r="I5" s="94">
        <f t="shared" ref="I5:I27" si="0">SUM(H5/G5)*100</f>
        <v>81.938931297709928</v>
      </c>
    </row>
    <row r="6" spans="2:9" x14ac:dyDescent="0.2">
      <c r="B6" s="790" t="s">
        <v>2</v>
      </c>
      <c r="C6" s="790"/>
      <c r="D6" s="239" t="s">
        <v>29</v>
      </c>
      <c r="E6" s="240">
        <v>9040.8999999999978</v>
      </c>
      <c r="F6" s="241">
        <v>3507</v>
      </c>
      <c r="G6" s="241">
        <v>3183</v>
      </c>
      <c r="H6" s="241">
        <v>1606</v>
      </c>
      <c r="I6" s="94">
        <f t="shared" si="0"/>
        <v>50.45554508325479</v>
      </c>
    </row>
    <row r="7" spans="2:9" x14ac:dyDescent="0.2">
      <c r="B7" s="790" t="s">
        <v>3</v>
      </c>
      <c r="C7" s="790"/>
      <c r="D7" s="239" t="s">
        <v>30</v>
      </c>
      <c r="E7" s="240">
        <v>22091.7</v>
      </c>
      <c r="F7" s="241">
        <v>5421</v>
      </c>
      <c r="G7" s="241">
        <v>3941</v>
      </c>
      <c r="H7" s="241">
        <v>3403</v>
      </c>
      <c r="I7" s="94">
        <f t="shared" si="0"/>
        <v>86.348642476528809</v>
      </c>
    </row>
    <row r="8" spans="2:9" x14ac:dyDescent="0.2">
      <c r="B8" s="786" t="s">
        <v>4</v>
      </c>
      <c r="C8" s="786"/>
      <c r="D8" s="239" t="s">
        <v>31</v>
      </c>
      <c r="E8" s="240">
        <v>25153.499999999996</v>
      </c>
      <c r="F8" s="241">
        <v>2615</v>
      </c>
      <c r="G8" s="241">
        <v>2277</v>
      </c>
      <c r="H8" s="241">
        <v>1955</v>
      </c>
      <c r="I8" s="94">
        <f t="shared" si="0"/>
        <v>85.858585858585855</v>
      </c>
    </row>
    <row r="9" spans="2:9" x14ac:dyDescent="0.2">
      <c r="B9" s="787" t="s">
        <v>5</v>
      </c>
      <c r="C9" s="787"/>
      <c r="D9" s="236" t="s">
        <v>32</v>
      </c>
      <c r="E9" s="237">
        <v>1159.4000000000001</v>
      </c>
      <c r="F9" s="238">
        <v>1080</v>
      </c>
      <c r="G9" s="238">
        <v>892</v>
      </c>
      <c r="H9" s="238">
        <v>134</v>
      </c>
      <c r="I9" s="94">
        <f t="shared" si="0"/>
        <v>15.022421524663676</v>
      </c>
    </row>
    <row r="10" spans="2:9" x14ac:dyDescent="0.2">
      <c r="B10" s="788" t="s">
        <v>115</v>
      </c>
      <c r="C10" s="788"/>
      <c r="D10" s="236" t="s">
        <v>33</v>
      </c>
      <c r="E10" s="237">
        <v>84.2</v>
      </c>
      <c r="F10" s="238">
        <v>144</v>
      </c>
      <c r="G10" s="238">
        <v>137</v>
      </c>
      <c r="H10" s="238">
        <v>5</v>
      </c>
      <c r="I10" s="94">
        <f t="shared" si="0"/>
        <v>3.6496350364963499</v>
      </c>
    </row>
    <row r="11" spans="2:9" x14ac:dyDescent="0.2">
      <c r="B11" s="787" t="s">
        <v>6</v>
      </c>
      <c r="C11" s="787"/>
      <c r="D11" s="236" t="s">
        <v>34</v>
      </c>
      <c r="E11" s="237">
        <v>130.4</v>
      </c>
      <c r="F11" s="238">
        <v>36</v>
      </c>
      <c r="G11" s="238">
        <v>21</v>
      </c>
      <c r="H11" s="238">
        <v>20</v>
      </c>
      <c r="I11" s="94">
        <f t="shared" si="0"/>
        <v>95.238095238095227</v>
      </c>
    </row>
    <row r="12" spans="2:9" x14ac:dyDescent="0.2">
      <c r="B12" s="787" t="s">
        <v>7</v>
      </c>
      <c r="C12" s="787"/>
      <c r="D12" s="236" t="s">
        <v>35</v>
      </c>
      <c r="E12" s="237">
        <v>106.80000000000001</v>
      </c>
      <c r="F12" s="238">
        <v>12</v>
      </c>
      <c r="G12" s="238">
        <v>6</v>
      </c>
      <c r="H12" s="238">
        <v>6</v>
      </c>
      <c r="I12" s="94">
        <f t="shared" si="0"/>
        <v>100</v>
      </c>
    </row>
    <row r="13" spans="2:9" x14ac:dyDescent="0.2">
      <c r="B13" s="782" t="s">
        <v>8</v>
      </c>
      <c r="C13" s="782"/>
      <c r="D13" s="236" t="s">
        <v>36</v>
      </c>
      <c r="E13" s="237">
        <v>17.5</v>
      </c>
      <c r="F13" s="238">
        <v>4</v>
      </c>
      <c r="G13" s="238">
        <v>2</v>
      </c>
      <c r="H13" s="238">
        <v>0</v>
      </c>
      <c r="I13" s="94">
        <f>SUM(H13/G13)*100</f>
        <v>0</v>
      </c>
    </row>
    <row r="14" spans="2:9" x14ac:dyDescent="0.2">
      <c r="B14" s="789" t="s">
        <v>116</v>
      </c>
      <c r="C14" s="789"/>
      <c r="D14" s="236" t="s">
        <v>37</v>
      </c>
      <c r="E14" s="237">
        <v>32</v>
      </c>
      <c r="F14" s="238">
        <v>10</v>
      </c>
      <c r="G14" s="238">
        <v>0</v>
      </c>
      <c r="H14" s="238">
        <v>0</v>
      </c>
      <c r="I14" s="94"/>
    </row>
    <row r="15" spans="2:9" x14ac:dyDescent="0.2">
      <c r="B15" s="787" t="s">
        <v>9</v>
      </c>
      <c r="C15" s="787"/>
      <c r="D15" s="236" t="s">
        <v>26</v>
      </c>
      <c r="E15" s="237">
        <v>875.3</v>
      </c>
      <c r="F15" s="238">
        <v>323</v>
      </c>
      <c r="G15" s="238">
        <v>143</v>
      </c>
      <c r="H15" s="238">
        <v>84</v>
      </c>
      <c r="I15" s="94">
        <f t="shared" si="0"/>
        <v>58.74125874125874</v>
      </c>
    </row>
    <row r="16" spans="2:9" x14ac:dyDescent="0.2">
      <c r="B16" s="782" t="s">
        <v>10</v>
      </c>
      <c r="C16" s="782"/>
      <c r="D16" s="236" t="s">
        <v>38</v>
      </c>
      <c r="E16" s="237">
        <v>1303.6000000000001</v>
      </c>
      <c r="F16" s="238">
        <v>293</v>
      </c>
      <c r="G16" s="238">
        <v>182</v>
      </c>
      <c r="H16" s="238">
        <v>154</v>
      </c>
      <c r="I16" s="94">
        <f t="shared" si="0"/>
        <v>84.615384615384613</v>
      </c>
    </row>
    <row r="17" spans="2:9" x14ac:dyDescent="0.2">
      <c r="B17" s="790" t="s">
        <v>11</v>
      </c>
      <c r="C17" s="790"/>
      <c r="D17" s="239" t="s">
        <v>39</v>
      </c>
      <c r="E17" s="240">
        <v>7065.6999999999989</v>
      </c>
      <c r="F17" s="241">
        <v>998</v>
      </c>
      <c r="G17" s="241">
        <v>725</v>
      </c>
      <c r="H17" s="241">
        <v>658</v>
      </c>
      <c r="I17" s="94">
        <f t="shared" si="0"/>
        <v>90.758620689655174</v>
      </c>
    </row>
    <row r="18" spans="2:9" x14ac:dyDescent="0.2">
      <c r="B18" s="781" t="s">
        <v>12</v>
      </c>
      <c r="C18" s="781"/>
      <c r="D18" s="236" t="s">
        <v>40</v>
      </c>
      <c r="E18" s="237">
        <v>1848.1</v>
      </c>
      <c r="F18" s="238">
        <v>358</v>
      </c>
      <c r="G18" s="238">
        <v>132</v>
      </c>
      <c r="H18" s="238">
        <v>95</v>
      </c>
      <c r="I18" s="94">
        <f t="shared" si="0"/>
        <v>71.969696969696969</v>
      </c>
    </row>
    <row r="19" spans="2:9" x14ac:dyDescent="0.2">
      <c r="B19" s="782" t="s">
        <v>13</v>
      </c>
      <c r="C19" s="782"/>
      <c r="D19" s="236" t="s">
        <v>41</v>
      </c>
      <c r="E19" s="237">
        <v>2.2000000000000002</v>
      </c>
      <c r="F19" s="238">
        <v>1</v>
      </c>
      <c r="G19" s="238">
        <v>1</v>
      </c>
      <c r="H19" s="238">
        <v>1</v>
      </c>
      <c r="I19" s="94">
        <f t="shared" si="0"/>
        <v>100</v>
      </c>
    </row>
    <row r="20" spans="2:9" x14ac:dyDescent="0.2">
      <c r="B20" s="781" t="s">
        <v>14</v>
      </c>
      <c r="C20" s="781"/>
      <c r="D20" s="236" t="s">
        <v>42</v>
      </c>
      <c r="E20" s="237">
        <v>143.6</v>
      </c>
      <c r="F20" s="238">
        <v>37</v>
      </c>
      <c r="G20" s="238">
        <v>33</v>
      </c>
      <c r="H20" s="238">
        <v>13</v>
      </c>
      <c r="I20" s="94">
        <f t="shared" si="0"/>
        <v>39.393939393939391</v>
      </c>
    </row>
    <row r="21" spans="2:9" x14ac:dyDescent="0.2">
      <c r="B21" s="782" t="s">
        <v>15</v>
      </c>
      <c r="C21" s="782"/>
      <c r="D21" s="236" t="s">
        <v>43</v>
      </c>
      <c r="E21" s="237">
        <v>0</v>
      </c>
      <c r="F21" s="238">
        <v>0</v>
      </c>
      <c r="G21" s="238">
        <v>1</v>
      </c>
      <c r="H21" s="238">
        <v>1</v>
      </c>
      <c r="I21" s="94">
        <f t="shared" si="0"/>
        <v>100</v>
      </c>
    </row>
    <row r="22" spans="2:9" x14ac:dyDescent="0.2">
      <c r="B22" s="783" t="s">
        <v>16</v>
      </c>
      <c r="C22" s="783"/>
      <c r="D22" s="239" t="s">
        <v>44</v>
      </c>
      <c r="E22" s="240">
        <v>59863.100000000006</v>
      </c>
      <c r="F22" s="241">
        <v>2979</v>
      </c>
      <c r="G22" s="241">
        <v>2842</v>
      </c>
      <c r="H22" s="241">
        <v>2688</v>
      </c>
      <c r="I22" s="94">
        <f t="shared" si="0"/>
        <v>94.581280788177338</v>
      </c>
    </row>
    <row r="23" spans="2:9" ht="15.75" customHeight="1" x14ac:dyDescent="0.2">
      <c r="B23" s="242" t="s">
        <v>117</v>
      </c>
      <c r="C23" s="243" t="s">
        <v>118</v>
      </c>
      <c r="D23" s="236" t="s">
        <v>45</v>
      </c>
      <c r="E23" s="237">
        <v>0</v>
      </c>
      <c r="F23" s="238">
        <v>0</v>
      </c>
      <c r="G23" s="238">
        <v>1</v>
      </c>
      <c r="H23" s="238">
        <v>1</v>
      </c>
      <c r="I23" s="94">
        <f t="shared" si="0"/>
        <v>100</v>
      </c>
    </row>
    <row r="24" spans="2:9" x14ac:dyDescent="0.2">
      <c r="B24" s="783" t="s">
        <v>17</v>
      </c>
      <c r="C24" s="783"/>
      <c r="D24" s="239" t="s">
        <v>46</v>
      </c>
      <c r="E24" s="240">
        <v>48569.5</v>
      </c>
      <c r="F24" s="241">
        <v>2450</v>
      </c>
      <c r="G24" s="241">
        <v>2969</v>
      </c>
      <c r="H24" s="241">
        <v>2425</v>
      </c>
      <c r="I24" s="94">
        <f t="shared" si="0"/>
        <v>81.677332435163351</v>
      </c>
    </row>
    <row r="25" spans="2:9" x14ac:dyDescent="0.2">
      <c r="B25" s="787" t="s">
        <v>18</v>
      </c>
      <c r="C25" s="787"/>
      <c r="D25" s="236" t="s">
        <v>47</v>
      </c>
      <c r="E25" s="237">
        <v>605</v>
      </c>
      <c r="F25" s="238">
        <v>114</v>
      </c>
      <c r="G25" s="238">
        <v>144</v>
      </c>
      <c r="H25" s="238">
        <v>83</v>
      </c>
      <c r="I25" s="94">
        <f t="shared" si="0"/>
        <v>57.638888888888886</v>
      </c>
    </row>
    <row r="26" spans="2:9" x14ac:dyDescent="0.2">
      <c r="B26" s="784" t="s">
        <v>19</v>
      </c>
      <c r="C26" s="785"/>
      <c r="D26" s="236" t="s">
        <v>48</v>
      </c>
      <c r="E26" s="237">
        <v>44286.299999999988</v>
      </c>
      <c r="F26" s="238">
        <v>3981</v>
      </c>
      <c r="G26" s="238">
        <v>210</v>
      </c>
      <c r="H26" s="238">
        <v>191</v>
      </c>
      <c r="I26" s="94">
        <f t="shared" si="0"/>
        <v>90.952380952380949</v>
      </c>
    </row>
    <row r="27" spans="2:9" x14ac:dyDescent="0.2">
      <c r="B27" s="782" t="s">
        <v>20</v>
      </c>
      <c r="C27" s="782"/>
      <c r="D27" s="236">
        <v>24</v>
      </c>
      <c r="E27" s="237">
        <v>644986.80000000005</v>
      </c>
      <c r="F27" s="238">
        <v>86326</v>
      </c>
      <c r="G27" s="238">
        <v>61883</v>
      </c>
      <c r="H27" s="238">
        <v>48512</v>
      </c>
      <c r="I27" s="94">
        <f t="shared" si="0"/>
        <v>78.39309665013009</v>
      </c>
    </row>
    <row r="28" spans="2:9" x14ac:dyDescent="0.2">
      <c r="E28" s="194"/>
      <c r="F28" s="206"/>
      <c r="G28" s="206"/>
      <c r="H28" s="206"/>
    </row>
    <row r="29" spans="2:9" x14ac:dyDescent="0.2">
      <c r="B29" s="228" t="s">
        <v>279</v>
      </c>
      <c r="C29" s="229"/>
      <c r="D29" s="230"/>
      <c r="E29" s="231">
        <f>SUM(E5:E8,E22,E24)</f>
        <v>264833.30000000005</v>
      </c>
      <c r="F29" s="232">
        <f>SUM(F5:F8,F22,F24)</f>
        <v>35772</v>
      </c>
      <c r="G29" s="232">
        <f>SUM(G5:G8,G22,G24)</f>
        <v>28312</v>
      </c>
      <c r="H29" s="232">
        <f>SUM(H5:H8,H22,H24)</f>
        <v>22811</v>
      </c>
      <c r="I29" s="94">
        <f>SUM(H29/G29)*100</f>
        <v>80.570076292738051</v>
      </c>
    </row>
    <row r="30" spans="2:9" x14ac:dyDescent="0.2">
      <c r="B30" s="228" t="s">
        <v>279</v>
      </c>
      <c r="C30" s="229"/>
      <c r="D30" s="230"/>
      <c r="E30" s="231">
        <f>SUM(E29*1000)</f>
        <v>264833300.00000006</v>
      </c>
      <c r="F30" s="232">
        <f>SUM(F5:F8,F22,F24)</f>
        <v>35772</v>
      </c>
      <c r="G30" s="232">
        <f>SUM(G5:G8,G22,G24)</f>
        <v>28312</v>
      </c>
      <c r="H30" s="232">
        <f>SUM(H5:H8,H22,H24)</f>
        <v>22811</v>
      </c>
    </row>
    <row r="31" spans="2:9" x14ac:dyDescent="0.2">
      <c r="E31" s="194"/>
    </row>
    <row r="32" spans="2:9" x14ac:dyDescent="0.2">
      <c r="B32" s="228" t="s">
        <v>282</v>
      </c>
      <c r="C32" s="229"/>
      <c r="D32" s="230"/>
      <c r="E32" s="231">
        <f>SUM(E5:E8,E17,E22,E24)</f>
        <v>271899</v>
      </c>
      <c r="F32" s="232">
        <f>SUM(F5:F8,F17,F22,F24)</f>
        <v>36770</v>
      </c>
      <c r="G32" s="232">
        <f>SUM(G5:G8,G17,G22,G24)</f>
        <v>29037</v>
      </c>
      <c r="H32" s="232">
        <f>SUM(H5:H8,H17,H22,H24)</f>
        <v>23469</v>
      </c>
      <c r="I32" s="94">
        <f>SUM(H32/G32)*100</f>
        <v>80.824465337328235</v>
      </c>
    </row>
    <row r="33" spans="2:9" x14ac:dyDescent="0.2">
      <c r="B33" s="228"/>
      <c r="C33" s="229"/>
      <c r="D33" s="230"/>
      <c r="E33" s="231"/>
      <c r="F33" s="232"/>
      <c r="G33" s="232"/>
      <c r="H33" s="232"/>
      <c r="I33" s="44"/>
    </row>
  </sheetData>
  <mergeCells count="25">
    <mergeCell ref="B27:C27"/>
    <mergeCell ref="B20:C20"/>
    <mergeCell ref="B21:C21"/>
    <mergeCell ref="B22:C22"/>
    <mergeCell ref="B24:C24"/>
    <mergeCell ref="B25:C25"/>
    <mergeCell ref="B26:C26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7:C7"/>
    <mergeCell ref="B2:D2"/>
    <mergeCell ref="B3:D3"/>
    <mergeCell ref="B4:C4"/>
    <mergeCell ref="B5:C5"/>
    <mergeCell ref="B6:C6"/>
  </mergeCells>
  <pageMargins left="0.7" right="0.7" top="0.75" bottom="0.75" header="0.3" footer="0.3"/>
  <pageSetup paperSize="9"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CCECFF"/>
    <pageSetUpPr fitToPage="1"/>
  </sheetPr>
  <dimension ref="B1:J34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44" customWidth="1"/>
    <col min="2" max="2" width="9.140625" style="44"/>
    <col min="3" max="3" width="55.5703125" style="44" customWidth="1"/>
    <col min="4" max="4" width="5.140625" style="44" customWidth="1"/>
    <col min="5" max="5" width="18" style="44" customWidth="1"/>
    <col min="6" max="6" width="21.85546875" style="44" customWidth="1"/>
    <col min="7" max="7" width="22.7109375" style="44" customWidth="1"/>
    <col min="8" max="8" width="19.5703125" style="44" customWidth="1"/>
    <col min="9" max="9" width="9.42578125" style="94" customWidth="1"/>
    <col min="10" max="10" width="7.140625" style="44" customWidth="1"/>
    <col min="11" max="16384" width="9.140625" style="44"/>
  </cols>
  <sheetData>
    <row r="1" spans="2:10" x14ac:dyDescent="0.2">
      <c r="B1" s="44" t="s">
        <v>306</v>
      </c>
      <c r="I1" s="184"/>
    </row>
    <row r="2" spans="2:10" ht="59.25" x14ac:dyDescent="0.2">
      <c r="B2" s="791" t="s">
        <v>21</v>
      </c>
      <c r="C2" s="791"/>
      <c r="D2" s="791"/>
      <c r="E2" s="234" t="s">
        <v>442</v>
      </c>
      <c r="F2" s="235" t="s">
        <v>443</v>
      </c>
      <c r="G2" s="235" t="s">
        <v>444</v>
      </c>
      <c r="H2" s="235" t="s">
        <v>445</v>
      </c>
      <c r="I2" s="184"/>
    </row>
    <row r="3" spans="2:10" x14ac:dyDescent="0.2">
      <c r="B3" s="791">
        <v>0</v>
      </c>
      <c r="C3" s="791"/>
      <c r="D3" s="791"/>
      <c r="E3" s="234">
        <v>1</v>
      </c>
      <c r="F3" s="235">
        <v>2</v>
      </c>
      <c r="G3" s="235">
        <v>3</v>
      </c>
      <c r="H3" s="235">
        <v>4</v>
      </c>
      <c r="I3" s="184"/>
    </row>
    <row r="4" spans="2:10" x14ac:dyDescent="0.2">
      <c r="B4" s="787" t="s">
        <v>0</v>
      </c>
      <c r="C4" s="787"/>
      <c r="D4" s="236" t="s">
        <v>27</v>
      </c>
      <c r="E4" s="237">
        <v>287736.90000000002</v>
      </c>
      <c r="F4" s="238">
        <v>39396</v>
      </c>
      <c r="G4" s="238">
        <v>28472</v>
      </c>
      <c r="H4" s="238">
        <v>20506</v>
      </c>
      <c r="I4" s="184"/>
    </row>
    <row r="5" spans="2:10" x14ac:dyDescent="0.2">
      <c r="B5" s="783" t="s">
        <v>114</v>
      </c>
      <c r="C5" s="783"/>
      <c r="D5" s="239" t="s">
        <v>28</v>
      </c>
      <c r="E5" s="240">
        <v>103599.30000000002</v>
      </c>
      <c r="F5" s="241">
        <v>18425</v>
      </c>
      <c r="G5" s="241">
        <v>12626</v>
      </c>
      <c r="H5" s="241">
        <v>9873</v>
      </c>
      <c r="I5" s="94">
        <f t="shared" ref="I5:I25" si="0">SUM(H5/G5)*100</f>
        <v>78.195786472358634</v>
      </c>
    </row>
    <row r="6" spans="2:10" x14ac:dyDescent="0.2">
      <c r="B6" s="790" t="s">
        <v>2</v>
      </c>
      <c r="C6" s="790"/>
      <c r="D6" s="239" t="s">
        <v>29</v>
      </c>
      <c r="E6" s="240">
        <v>12009.699999999997</v>
      </c>
      <c r="F6" s="241">
        <v>4526</v>
      </c>
      <c r="G6" s="241">
        <v>4298</v>
      </c>
      <c r="H6" s="241">
        <v>1780</v>
      </c>
      <c r="I6" s="94">
        <f t="shared" si="0"/>
        <v>41.414611447184733</v>
      </c>
      <c r="J6" s="184"/>
    </row>
    <row r="7" spans="2:10" x14ac:dyDescent="0.2">
      <c r="B7" s="790" t="s">
        <v>3</v>
      </c>
      <c r="C7" s="790"/>
      <c r="D7" s="239" t="s">
        <v>30</v>
      </c>
      <c r="E7" s="240">
        <v>23417.200000000001</v>
      </c>
      <c r="F7" s="241">
        <v>5321</v>
      </c>
      <c r="G7" s="241">
        <v>2570</v>
      </c>
      <c r="H7" s="241">
        <v>2264</v>
      </c>
      <c r="I7" s="94">
        <f t="shared" si="0"/>
        <v>88.093385214007782</v>
      </c>
    </row>
    <row r="8" spans="2:10" x14ac:dyDescent="0.2">
      <c r="B8" s="786" t="s">
        <v>4</v>
      </c>
      <c r="C8" s="786"/>
      <c r="D8" s="239" t="s">
        <v>31</v>
      </c>
      <c r="E8" s="240">
        <v>20169.5</v>
      </c>
      <c r="F8" s="241">
        <v>2335</v>
      </c>
      <c r="G8" s="241">
        <v>2030</v>
      </c>
      <c r="H8" s="241">
        <v>1606</v>
      </c>
      <c r="I8" s="94">
        <f t="shared" si="0"/>
        <v>79.113300492610833</v>
      </c>
    </row>
    <row r="9" spans="2:10" x14ac:dyDescent="0.2">
      <c r="B9" s="787" t="s">
        <v>5</v>
      </c>
      <c r="C9" s="787"/>
      <c r="D9" s="236" t="s">
        <v>32</v>
      </c>
      <c r="E9" s="237">
        <v>1220.8</v>
      </c>
      <c r="F9" s="238">
        <v>1132</v>
      </c>
      <c r="G9" s="238">
        <v>955</v>
      </c>
      <c r="H9" s="238">
        <v>134</v>
      </c>
      <c r="I9" s="94">
        <f t="shared" si="0"/>
        <v>14.031413612565444</v>
      </c>
    </row>
    <row r="10" spans="2:10" x14ac:dyDescent="0.2">
      <c r="B10" s="788" t="s">
        <v>115</v>
      </c>
      <c r="C10" s="788"/>
      <c r="D10" s="236" t="s">
        <v>33</v>
      </c>
      <c r="E10" s="237">
        <v>105.4</v>
      </c>
      <c r="F10" s="238">
        <v>162</v>
      </c>
      <c r="G10" s="238">
        <v>149</v>
      </c>
      <c r="H10" s="238">
        <v>10</v>
      </c>
      <c r="I10" s="94">
        <f t="shared" si="0"/>
        <v>6.7114093959731544</v>
      </c>
    </row>
    <row r="11" spans="2:10" x14ac:dyDescent="0.2">
      <c r="B11" s="787" t="s">
        <v>6</v>
      </c>
      <c r="C11" s="787"/>
      <c r="D11" s="236" t="s">
        <v>34</v>
      </c>
      <c r="E11" s="237">
        <v>158.99999999999997</v>
      </c>
      <c r="F11" s="238">
        <v>47</v>
      </c>
      <c r="G11" s="238">
        <v>15</v>
      </c>
      <c r="H11" s="238">
        <v>13</v>
      </c>
      <c r="I11" s="94">
        <f t="shared" si="0"/>
        <v>86.666666666666671</v>
      </c>
    </row>
    <row r="12" spans="2:10" x14ac:dyDescent="0.2">
      <c r="B12" s="787" t="s">
        <v>7</v>
      </c>
      <c r="C12" s="787"/>
      <c r="D12" s="236" t="s">
        <v>35</v>
      </c>
      <c r="E12" s="237">
        <v>136.5</v>
      </c>
      <c r="F12" s="238">
        <v>15</v>
      </c>
      <c r="G12" s="238">
        <v>6</v>
      </c>
      <c r="H12" s="238">
        <v>3</v>
      </c>
      <c r="I12" s="94">
        <f t="shared" si="0"/>
        <v>50</v>
      </c>
    </row>
    <row r="13" spans="2:10" x14ac:dyDescent="0.2">
      <c r="B13" s="782" t="s">
        <v>8</v>
      </c>
      <c r="C13" s="782"/>
      <c r="D13" s="236" t="s">
        <v>36</v>
      </c>
      <c r="E13" s="237">
        <v>65.5</v>
      </c>
      <c r="F13" s="238">
        <v>13</v>
      </c>
      <c r="G13" s="238">
        <v>10</v>
      </c>
      <c r="H13" s="238">
        <v>3</v>
      </c>
      <c r="I13" s="94">
        <f t="shared" si="0"/>
        <v>30</v>
      </c>
    </row>
    <row r="14" spans="2:10" x14ac:dyDescent="0.2">
      <c r="B14" s="789" t="s">
        <v>116</v>
      </c>
      <c r="C14" s="789"/>
      <c r="D14" s="236" t="s">
        <v>37</v>
      </c>
      <c r="E14" s="237">
        <v>0</v>
      </c>
      <c r="F14" s="238">
        <v>0</v>
      </c>
      <c r="G14" s="238">
        <v>0</v>
      </c>
      <c r="H14" s="238">
        <v>0</v>
      </c>
    </row>
    <row r="15" spans="2:10" x14ac:dyDescent="0.2">
      <c r="B15" s="787" t="s">
        <v>9</v>
      </c>
      <c r="C15" s="787"/>
      <c r="D15" s="236" t="s">
        <v>26</v>
      </c>
      <c r="E15" s="237">
        <v>931.10000000000014</v>
      </c>
      <c r="F15" s="238">
        <v>248</v>
      </c>
      <c r="G15" s="238">
        <v>118</v>
      </c>
      <c r="H15" s="238">
        <v>69</v>
      </c>
      <c r="I15" s="94">
        <f t="shared" si="0"/>
        <v>58.474576271186443</v>
      </c>
    </row>
    <row r="16" spans="2:10" x14ac:dyDescent="0.2">
      <c r="B16" s="782" t="s">
        <v>10</v>
      </c>
      <c r="C16" s="782"/>
      <c r="D16" s="236" t="s">
        <v>38</v>
      </c>
      <c r="E16" s="237">
        <v>1722.5999999999997</v>
      </c>
      <c r="F16" s="238">
        <v>297</v>
      </c>
      <c r="G16" s="238">
        <v>15</v>
      </c>
      <c r="H16" s="238">
        <v>9</v>
      </c>
      <c r="I16" s="94">
        <f t="shared" si="0"/>
        <v>60</v>
      </c>
    </row>
    <row r="17" spans="2:9" x14ac:dyDescent="0.2">
      <c r="B17" s="790" t="s">
        <v>11</v>
      </c>
      <c r="C17" s="790"/>
      <c r="D17" s="239" t="s">
        <v>39</v>
      </c>
      <c r="E17" s="240">
        <v>4052.3999999999996</v>
      </c>
      <c r="F17" s="241">
        <v>601</v>
      </c>
      <c r="G17" s="241">
        <v>269</v>
      </c>
      <c r="H17" s="241">
        <v>249</v>
      </c>
      <c r="I17" s="94">
        <f t="shared" si="0"/>
        <v>92.565055762081784</v>
      </c>
    </row>
    <row r="18" spans="2:9" x14ac:dyDescent="0.2">
      <c r="B18" s="781" t="s">
        <v>12</v>
      </c>
      <c r="C18" s="781"/>
      <c r="D18" s="236" t="s">
        <v>40</v>
      </c>
      <c r="E18" s="237">
        <v>888.9</v>
      </c>
      <c r="F18" s="238">
        <v>176</v>
      </c>
      <c r="G18" s="238">
        <v>1</v>
      </c>
      <c r="H18" s="238">
        <v>5</v>
      </c>
      <c r="I18" s="94">
        <f t="shared" si="0"/>
        <v>500</v>
      </c>
    </row>
    <row r="19" spans="2:9" x14ac:dyDescent="0.2">
      <c r="B19" s="782" t="s">
        <v>13</v>
      </c>
      <c r="C19" s="782"/>
      <c r="D19" s="236" t="s">
        <v>41</v>
      </c>
      <c r="E19" s="237">
        <v>8.3000000000000007</v>
      </c>
      <c r="F19" s="238">
        <v>1</v>
      </c>
      <c r="G19" s="238">
        <v>0</v>
      </c>
      <c r="H19" s="238">
        <v>0</v>
      </c>
    </row>
    <row r="20" spans="2:9" x14ac:dyDescent="0.2">
      <c r="B20" s="781" t="s">
        <v>14</v>
      </c>
      <c r="C20" s="781"/>
      <c r="D20" s="236" t="s">
        <v>42</v>
      </c>
      <c r="E20" s="237">
        <v>188.00000000000003</v>
      </c>
      <c r="F20" s="238">
        <v>45</v>
      </c>
      <c r="G20" s="238">
        <v>7</v>
      </c>
      <c r="H20" s="238">
        <v>4</v>
      </c>
      <c r="I20" s="94">
        <f t="shared" si="0"/>
        <v>57.142857142857139</v>
      </c>
    </row>
    <row r="21" spans="2:9" x14ac:dyDescent="0.2">
      <c r="B21" s="782" t="s">
        <v>15</v>
      </c>
      <c r="C21" s="782"/>
      <c r="D21" s="236" t="s">
        <v>43</v>
      </c>
      <c r="E21" s="237">
        <v>10.5</v>
      </c>
      <c r="F21" s="238">
        <v>1</v>
      </c>
      <c r="G21" s="238">
        <v>0</v>
      </c>
      <c r="H21" s="238">
        <v>0</v>
      </c>
    </row>
    <row r="22" spans="2:9" x14ac:dyDescent="0.2">
      <c r="B22" s="783" t="s">
        <v>16</v>
      </c>
      <c r="C22" s="783"/>
      <c r="D22" s="239" t="s">
        <v>44</v>
      </c>
      <c r="E22" s="240">
        <v>57420.700000000004</v>
      </c>
      <c r="F22" s="241">
        <v>2864</v>
      </c>
      <c r="G22" s="241">
        <v>3016</v>
      </c>
      <c r="H22" s="241">
        <v>2721</v>
      </c>
      <c r="I22" s="94">
        <f t="shared" si="0"/>
        <v>90.218832891246677</v>
      </c>
    </row>
    <row r="23" spans="2:9" ht="15.75" customHeight="1" x14ac:dyDescent="0.2">
      <c r="B23" s="242" t="s">
        <v>117</v>
      </c>
      <c r="C23" s="243" t="s">
        <v>118</v>
      </c>
      <c r="D23" s="236" t="s">
        <v>45</v>
      </c>
      <c r="E23" s="237">
        <v>86.8</v>
      </c>
      <c r="F23" s="238">
        <v>7</v>
      </c>
      <c r="G23" s="238">
        <v>14</v>
      </c>
      <c r="H23" s="238">
        <v>8</v>
      </c>
      <c r="I23" s="94">
        <f t="shared" si="0"/>
        <v>57.142857142857139</v>
      </c>
    </row>
    <row r="24" spans="2:9" x14ac:dyDescent="0.2">
      <c r="B24" s="783" t="s">
        <v>17</v>
      </c>
      <c r="C24" s="783"/>
      <c r="D24" s="239" t="s">
        <v>46</v>
      </c>
      <c r="E24" s="240">
        <v>61631.500000000007</v>
      </c>
      <c r="F24" s="241">
        <v>3187</v>
      </c>
      <c r="G24" s="241">
        <v>2387</v>
      </c>
      <c r="H24" s="241">
        <v>1763</v>
      </c>
      <c r="I24" s="94">
        <f t="shared" si="0"/>
        <v>73.858399664851277</v>
      </c>
    </row>
    <row r="25" spans="2:9" x14ac:dyDescent="0.2">
      <c r="B25" s="787" t="s">
        <v>18</v>
      </c>
      <c r="C25" s="787"/>
      <c r="D25" s="236" t="s">
        <v>47</v>
      </c>
      <c r="E25" s="237">
        <v>575560.6</v>
      </c>
      <c r="F25" s="238">
        <v>78799</v>
      </c>
      <c r="G25" s="238">
        <v>56958</v>
      </c>
      <c r="H25" s="238">
        <v>41020</v>
      </c>
      <c r="I25" s="94">
        <f t="shared" si="0"/>
        <v>72.017978159345489</v>
      </c>
    </row>
    <row r="26" spans="2:9" x14ac:dyDescent="0.2">
      <c r="B26" s="784" t="s">
        <v>19</v>
      </c>
      <c r="C26" s="785"/>
      <c r="D26" s="236" t="s">
        <v>48</v>
      </c>
      <c r="E26" s="237">
        <v>46280</v>
      </c>
      <c r="F26" s="238"/>
      <c r="G26" s="238"/>
      <c r="H26" s="238"/>
    </row>
    <row r="27" spans="2:9" x14ac:dyDescent="0.2">
      <c r="B27" s="782" t="s">
        <v>20</v>
      </c>
      <c r="C27" s="782"/>
      <c r="D27" s="236">
        <v>24</v>
      </c>
      <c r="E27" s="237">
        <v>2195</v>
      </c>
      <c r="F27" s="238"/>
      <c r="G27" s="238"/>
      <c r="H27" s="238"/>
      <c r="I27" s="227">
        <v>13907.5273654221</v>
      </c>
    </row>
    <row r="28" spans="2:9" x14ac:dyDescent="0.2">
      <c r="E28" s="194"/>
      <c r="F28" s="206"/>
      <c r="G28" s="206"/>
      <c r="H28" s="206"/>
    </row>
    <row r="29" spans="2:9" x14ac:dyDescent="0.2">
      <c r="B29" s="228" t="s">
        <v>279</v>
      </c>
      <c r="C29" s="229"/>
      <c r="D29" s="230"/>
      <c r="E29" s="231">
        <f>SUM(E5:E8,E22,E24)</f>
        <v>278247.90000000002</v>
      </c>
      <c r="F29" s="232">
        <f>SUM(F5:F8,F22,F24)</f>
        <v>36658</v>
      </c>
      <c r="G29" s="232">
        <f>SUM(G5:G8,G22,G24)</f>
        <v>26927</v>
      </c>
      <c r="H29" s="232">
        <f>SUM(H5:H8,H22,H24)</f>
        <v>20007</v>
      </c>
      <c r="I29" s="94">
        <f>SUM(H29)/G29*100</f>
        <v>74.300887584951909</v>
      </c>
    </row>
    <row r="30" spans="2:9" x14ac:dyDescent="0.2">
      <c r="B30" s="228" t="s">
        <v>279</v>
      </c>
      <c r="C30" s="229"/>
      <c r="D30" s="230"/>
      <c r="E30" s="231">
        <f>SUM(E29*1000)</f>
        <v>278247900</v>
      </c>
      <c r="F30" s="232">
        <f>SUM(F5:F8,F22,F24)</f>
        <v>36658</v>
      </c>
      <c r="G30" s="232">
        <f>SUM(G5:G8,G22,G24)</f>
        <v>26927</v>
      </c>
      <c r="H30" s="232">
        <f>SUM(H5:H8,H22,H24)</f>
        <v>20007</v>
      </c>
    </row>
    <row r="31" spans="2:9" x14ac:dyDescent="0.2">
      <c r="E31" s="194"/>
    </row>
    <row r="32" spans="2:9" x14ac:dyDescent="0.2">
      <c r="B32" s="228" t="s">
        <v>282</v>
      </c>
      <c r="C32" s="229"/>
      <c r="D32" s="230"/>
      <c r="E32" s="231">
        <f>SUM(E5:E8,E17,E22,E24)</f>
        <v>282300.30000000005</v>
      </c>
      <c r="F32" s="232">
        <f>SUM(F5:F8,F17,F22,F24)</f>
        <v>37259</v>
      </c>
      <c r="G32" s="232">
        <f>SUM(G5:G8,G17,G22,G24)</f>
        <v>27196</v>
      </c>
      <c r="H32" s="232">
        <f>SUM(H5:H8,H17,H22,H24)</f>
        <v>20256</v>
      </c>
      <c r="I32" s="94">
        <f>SUM(H32)/G32*100</f>
        <v>74.481541403147517</v>
      </c>
    </row>
    <row r="33" spans="2:9" x14ac:dyDescent="0.2">
      <c r="B33" s="228"/>
      <c r="C33" s="229"/>
      <c r="D33" s="230"/>
      <c r="E33" s="231"/>
      <c r="F33" s="232"/>
      <c r="G33" s="232"/>
      <c r="H33" s="232"/>
      <c r="I33" s="184"/>
    </row>
    <row r="34" spans="2:9" x14ac:dyDescent="0.2">
      <c r="E34" s="233"/>
      <c r="F34" s="233"/>
      <c r="G34" s="233"/>
      <c r="H34" s="233"/>
      <c r="I34" s="184"/>
    </row>
  </sheetData>
  <mergeCells count="25">
    <mergeCell ref="B27:C27"/>
    <mergeCell ref="B20:C20"/>
    <mergeCell ref="B21:C21"/>
    <mergeCell ref="B22:C22"/>
    <mergeCell ref="B24:C24"/>
    <mergeCell ref="B25:C25"/>
    <mergeCell ref="B26:C26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7:C7"/>
    <mergeCell ref="B2:D2"/>
    <mergeCell ref="B3:D3"/>
    <mergeCell ref="B4:C4"/>
    <mergeCell ref="B5:C5"/>
    <mergeCell ref="B6:C6"/>
  </mergeCells>
  <pageMargins left="0.7" right="0.7" top="0.75" bottom="0.75" header="0.3" footer="0.3"/>
  <pageSetup paperSize="9" scale="7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3FB2E-6726-4A56-8DF6-41B200708894}">
  <sheetPr>
    <tabColor theme="4" tint="0.59999389629810485"/>
  </sheetPr>
  <dimension ref="B1:H18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44" customWidth="1"/>
    <col min="2" max="2" width="14.85546875" style="44" customWidth="1"/>
    <col min="3" max="3" width="9.140625" style="44"/>
    <col min="4" max="4" width="4.28515625" style="44" customWidth="1"/>
    <col min="5" max="5" width="13.42578125" style="44" customWidth="1"/>
    <col min="6" max="7" width="9.140625" style="44"/>
    <col min="8" max="8" width="7.5703125" style="44" customWidth="1"/>
    <col min="9" max="16384" width="9.140625" style="44"/>
  </cols>
  <sheetData>
    <row r="1" spans="2:7" ht="15" x14ac:dyDescent="0.25">
      <c r="B1" s="317" t="s">
        <v>480</v>
      </c>
    </row>
    <row r="2" spans="2:7" x14ac:dyDescent="0.2">
      <c r="B2" s="44" t="str">
        <f>T(P.!B1)</f>
        <v>6 podstawowych form - rozpoczęcie</v>
      </c>
    </row>
    <row r="3" spans="2:7" x14ac:dyDescent="0.2">
      <c r="B3" s="246" t="str">
        <f>T(P.!C2)</f>
        <v>staże</v>
      </c>
      <c r="C3" s="46">
        <f>SUM(P.25!C24)</f>
        <v>5942</v>
      </c>
      <c r="D3" s="247">
        <f>RANK(P.25!C24,P.25!$C$24:'P.25'!$I$24,0)+COUNTIF(P.25!$C$24:'P.25'!C24, P.25!C24)-1</f>
        <v>1</v>
      </c>
      <c r="E3" s="244" t="str">
        <f>INDEX(B3:B9,MATCH(1,D3:D9,0),1)</f>
        <v>staże</v>
      </c>
      <c r="F3" s="245">
        <f>INDEX(C3:C9,MATCH(1,D3:D9,0),1)</f>
        <v>5942</v>
      </c>
      <c r="G3" s="130">
        <f>SUM(F3/F10)*100</f>
        <v>36.916003976143145</v>
      </c>
    </row>
    <row r="4" spans="2:7" x14ac:dyDescent="0.2">
      <c r="B4" s="428" t="str">
        <f>T(P.!D2)</f>
        <v>szkolenia</v>
      </c>
      <c r="C4" s="46">
        <f>SUM(P.25!D24)</f>
        <v>1485</v>
      </c>
      <c r="D4" s="247">
        <f>RANK(P.25!D24,P.25!$C$24:'P.25'!$I$24,0)+COUNTIF(P.25!$D$24:'P.25'!D24, P.25!D24)-1</f>
        <v>5</v>
      </c>
      <c r="E4" s="244" t="str">
        <f>INDEX(B3:B9,MATCH(2,D3:D9,0),1)</f>
        <v>prace interw.</v>
      </c>
      <c r="F4" s="245">
        <f>INDEX(C3:C9,MATCH(2,D3:D9,0),1)</f>
        <v>4125</v>
      </c>
      <c r="G4" s="130">
        <f>SUM(F4/F10)*100</f>
        <v>25.627485089463221</v>
      </c>
    </row>
    <row r="5" spans="2:7" x14ac:dyDescent="0.2">
      <c r="B5" s="246" t="str">
        <f>T(P.!E2)</f>
        <v>prace interw.</v>
      </c>
      <c r="C5" s="46">
        <f>SUM(P.25!E24)</f>
        <v>4125</v>
      </c>
      <c r="D5" s="247">
        <f>RANK(P.25!E24,P.25!$C$24:'P.25'!$I$24,0)+COUNTIF(P.25!$E$24:'P.25'!E24, P.25!E24)-1</f>
        <v>2</v>
      </c>
      <c r="E5" s="244" t="str">
        <f>INDEX(B3:B9,MATCH(3,D3:D9,0),1)</f>
        <v>roboty publ.</v>
      </c>
      <c r="F5" s="245">
        <f>INDEX(C3:C9,MATCH(3,D3:D9,0),1)</f>
        <v>1726</v>
      </c>
      <c r="G5" s="130">
        <f>SUM(F5/F10)*100</f>
        <v>10.723161033797217</v>
      </c>
    </row>
    <row r="6" spans="2:7" x14ac:dyDescent="0.2">
      <c r="B6" s="246" t="str">
        <f>T(P.!F2)</f>
        <v>roboty publ.</v>
      </c>
      <c r="C6" s="46">
        <f>SUM(P.25!F24)</f>
        <v>1726</v>
      </c>
      <c r="D6" s="247">
        <f>RANK(P.25!F24,P.25!$C$24:'P.25'!$I$24,0)+COUNTIF(P.25!$F$24:'P.25'!F24, P.25!F24)-1</f>
        <v>3</v>
      </c>
      <c r="E6" s="244" t="str">
        <f>INDEX(B3:B9,MATCH(4,D3:D9,0),1)</f>
        <v>dof. działaln.</v>
      </c>
      <c r="F6" s="245">
        <f>INDEX(C3:C9,MATCH(4,D3:D9,0),1)</f>
        <v>1700</v>
      </c>
      <c r="G6" s="130">
        <f>SUM(F6/F10)*100</f>
        <v>10.561630218687872</v>
      </c>
    </row>
    <row r="7" spans="2:7" x14ac:dyDescent="0.2">
      <c r="B7" s="276" t="str">
        <f>T(P.!G2)</f>
        <v>dof. działaln.</v>
      </c>
      <c r="C7" s="254">
        <f>SUM(P.25!G24)</f>
        <v>1700</v>
      </c>
      <c r="D7" s="247">
        <f>RANK(P.25!G24,P.25!$C$24:'P.25'!$I$24,0)+COUNTIF(P.25!$G$24:'P.25'!G24, P.25!G24)-1</f>
        <v>4</v>
      </c>
      <c r="E7" s="244" t="str">
        <f>INDEX(B3:B9,MATCH(5,D3:D9,0),1)</f>
        <v>szkolenia</v>
      </c>
      <c r="F7" s="245">
        <f>INDEX(C3:C9,MATCH(5,D3:D9,0),1)</f>
        <v>1485</v>
      </c>
      <c r="G7" s="130">
        <f>SUM(F7/F10)*100</f>
        <v>9.2258946322067583</v>
      </c>
    </row>
    <row r="8" spans="2:7" x14ac:dyDescent="0.2">
      <c r="B8" s="276" t="str">
        <f>T(P.!H2)</f>
        <v>refund. koszt.</v>
      </c>
      <c r="C8" s="254">
        <f>SUM(P.25!H24)</f>
        <v>1118</v>
      </c>
      <c r="D8" s="247">
        <f>RANK(P.25!H24,P.25!$C$24:'P.25'!$I$24,0)+COUNTIF(P.25!$H$24:'P.25'!H24, P.25!H24)-1</f>
        <v>6</v>
      </c>
      <c r="E8" s="244" t="str">
        <f>INDEX(B3:B9,MATCH(6,D3:D9,0),1)</f>
        <v>refund. koszt.</v>
      </c>
      <c r="F8" s="245">
        <f>INDEX(C3:C9,MATCH(6,D3:D9,0),1)</f>
        <v>1118</v>
      </c>
      <c r="G8" s="130">
        <f>SUM(F8/F10)*100</f>
        <v>6.9458250497017895</v>
      </c>
    </row>
    <row r="9" spans="2:7" x14ac:dyDescent="0.2">
      <c r="B9" s="244" t="str">
        <f>T(P.!I2)</f>
        <v>bon na zas.</v>
      </c>
      <c r="C9" s="46">
        <f>SUM(P.25!I24)</f>
        <v>840</v>
      </c>
      <c r="D9" s="46">
        <f>RANK(P.25!I24,P.25!$C$24:'P.25'!$I$24,0)+COUNTIF(P.25!$I$24:'P.25'!I24, P.25!I24)-1</f>
        <v>7</v>
      </c>
      <c r="E9" s="244" t="str">
        <f>INDEX(B3:B9,MATCH(7,D3:D9,0),1)</f>
        <v>bon na zas.</v>
      </c>
      <c r="F9" s="245">
        <f>INDEX(C3:C9,MATCH(7,D3:D9,0),1)</f>
        <v>840</v>
      </c>
      <c r="G9" s="553"/>
    </row>
    <row r="10" spans="2:7" x14ac:dyDescent="0.2">
      <c r="B10" s="44" t="str">
        <f>T(P.!K1)</f>
        <v>6 podstawowych form - zakończenie</v>
      </c>
      <c r="F10" s="551">
        <f>SUM(F3:F8)</f>
        <v>16096</v>
      </c>
      <c r="G10" s="555">
        <f>SUM(G3:G8)</f>
        <v>100</v>
      </c>
    </row>
    <row r="11" spans="2:7" x14ac:dyDescent="0.2">
      <c r="B11" s="246" t="str">
        <f>T(P.!L2)</f>
        <v>staże</v>
      </c>
      <c r="C11" s="46">
        <f>SUM(P.25!L24)</f>
        <v>4427</v>
      </c>
      <c r="D11" s="247">
        <f>RANK(P.25!L24, P.25!$L$24:'P.25'!$R$24,0)+COUNTIF(P.25!$L$24:'P.25'!L24,P.25!L24)-1</f>
        <v>1</v>
      </c>
      <c r="E11" s="244" t="str">
        <f>INDEX(B11:B17,MATCH(1,D11:D17,0),1)</f>
        <v>staże</v>
      </c>
      <c r="F11" s="46">
        <f>INDEX(C11:C17,MATCH(1,D11:D17,0),1)</f>
        <v>4427</v>
      </c>
      <c r="G11" s="130">
        <f>SUM(F11/F18)*100</f>
        <v>32.850994360344316</v>
      </c>
    </row>
    <row r="12" spans="2:7" x14ac:dyDescent="0.2">
      <c r="B12" s="246" t="str">
        <f>T(P.!M2)</f>
        <v>szkolenia</v>
      </c>
      <c r="C12" s="46">
        <f>SUM(P.25!M24)</f>
        <v>1288</v>
      </c>
      <c r="D12" s="247">
        <f>RANK(P.25!M24, P.25!$L$24:'P.25'!$R$24,0)+COUNTIF(P.25!$M$24:'P.25'!M24,P.25!M24)-1</f>
        <v>6</v>
      </c>
      <c r="E12" s="244" t="str">
        <f>INDEX(B11:B17,MATCH(2,D11:D17,0),1)</f>
        <v>prace interw.</v>
      </c>
      <c r="F12" s="46">
        <f>INDEX(C11:C17,MATCH(2,D11:D17,0),1)</f>
        <v>2924</v>
      </c>
      <c r="G12" s="130">
        <f>SUM(F12/F18)*100</f>
        <v>21.697833184921343</v>
      </c>
    </row>
    <row r="13" spans="2:7" x14ac:dyDescent="0.2">
      <c r="B13" s="246" t="str">
        <f>T(P.!N2)</f>
        <v>prace interw.</v>
      </c>
      <c r="C13" s="46">
        <f>SUM(P.25!N24)</f>
        <v>2924</v>
      </c>
      <c r="D13" s="247">
        <f>RANK(P.25!N24, P.25!$L$24:'P.25'!$R$24,0)+COUNTIF(P.25!$N$24:'P.25'!N24,P.25!N24)-1</f>
        <v>2</v>
      </c>
      <c r="E13" s="244" t="str">
        <f>INDEX(B11:B17,MATCH(3,D11:D17,0),1)</f>
        <v>dof. działaln.</v>
      </c>
      <c r="F13" s="46">
        <f>INDEX(C11:C17,MATCH(3,D11:D17,0),1)</f>
        <v>1810</v>
      </c>
      <c r="G13" s="130">
        <f>SUM(F13/F18)*100</f>
        <v>13.431285247848027</v>
      </c>
    </row>
    <row r="14" spans="2:7" x14ac:dyDescent="0.2">
      <c r="B14" s="246" t="str">
        <f>T(P.!O2)</f>
        <v>roboty publ.</v>
      </c>
      <c r="C14" s="46">
        <f>SUM(P.25!O24)</f>
        <v>1399</v>
      </c>
      <c r="D14" s="247">
        <f>RANK(P.25!O24, P.25!$L$24:'P.25'!$R$24,0)+COUNTIF(P.25!$O$24:'P.25'!O24,P.25!O24)-1</f>
        <v>5</v>
      </c>
      <c r="E14" s="244" t="str">
        <f>INDEX(B11:B17,MATCH(4,D11:D17,0),1)</f>
        <v>refund. koszt.</v>
      </c>
      <c r="F14" s="46">
        <f>INDEX(C11:C17,MATCH(4,D11:D17,0),1)</f>
        <v>1628</v>
      </c>
      <c r="G14" s="130">
        <f>SUM(F14/F18)*100</f>
        <v>12.080736123478777</v>
      </c>
    </row>
    <row r="15" spans="2:7" x14ac:dyDescent="0.2">
      <c r="B15" s="276" t="str">
        <f>T(P.!P2)</f>
        <v>dof. działaln.</v>
      </c>
      <c r="C15" s="254">
        <f>SUM(P.25!P24)</f>
        <v>1810</v>
      </c>
      <c r="D15" s="247">
        <f>RANK(P.25!P24, P.25!$L$24:'P.25'!$R$24,0)+COUNTIF(P.25!$P$24:'P.25'!P24,P.25!P24)-1</f>
        <v>3</v>
      </c>
      <c r="E15" s="244" t="str">
        <f>INDEX(B11:B17,MATCH(5,D11:D17,0),1)</f>
        <v>roboty publ.</v>
      </c>
      <c r="F15" s="46">
        <f>INDEX(C11:C17,MATCH(5,D11:D17,0),1)</f>
        <v>1399</v>
      </c>
      <c r="G15" s="130">
        <f>SUM(F15/F18)*100</f>
        <v>10.381418818640546</v>
      </c>
    </row>
    <row r="16" spans="2:7" x14ac:dyDescent="0.2">
      <c r="B16" s="276" t="str">
        <f>T(P.!Q2)</f>
        <v>refund. koszt.</v>
      </c>
      <c r="C16" s="254">
        <f>SUM(P.25!Q24)</f>
        <v>1628</v>
      </c>
      <c r="D16" s="247">
        <f>RANK(P.25!Q24, P.25!$L$24:'P.25'!$R$24,0)+COUNTIF(P.25!$Q$24:'P.25'!Q24,P.25!Q24)-1</f>
        <v>4</v>
      </c>
      <c r="E16" s="244" t="str">
        <f>INDEX(B11:B17,MATCH(6,D11:D17,0),1)</f>
        <v>szkolenia</v>
      </c>
      <c r="F16" s="46">
        <f>INDEX(C11:C17,MATCH(6,D11:D17,0),1)</f>
        <v>1288</v>
      </c>
      <c r="G16" s="130">
        <f>SUM(F16/F18)*100</f>
        <v>9.5577322647669938</v>
      </c>
    </row>
    <row r="17" spans="2:8" x14ac:dyDescent="0.2">
      <c r="B17" s="244" t="str">
        <f>T(P.!R2)</f>
        <v>bon na zas.</v>
      </c>
      <c r="C17" s="46">
        <f>SUM(P.25!R24)</f>
        <v>893</v>
      </c>
      <c r="D17" s="46">
        <f>RANK(P.25!R24, P.25!$L$24:'P.25'!$R$24,0)+COUNTIF(P.25!$R$24:'P.25'!R24,P.25!R24)-1</f>
        <v>7</v>
      </c>
      <c r="E17" s="244" t="str">
        <f>INDEX(B11:B17,MATCH(7,D11:D17,0),1)</f>
        <v>bon na zas.</v>
      </c>
      <c r="F17" s="46">
        <f>INDEX(C11:C17,MATCH(7,D11:D17,0),1)</f>
        <v>893</v>
      </c>
      <c r="G17" s="553"/>
    </row>
    <row r="18" spans="2:8" x14ac:dyDescent="0.2">
      <c r="B18" s="246"/>
      <c r="C18" s="246"/>
      <c r="D18" s="246"/>
      <c r="E18" s="246"/>
      <c r="F18" s="552">
        <f>SUM(F11:F16)</f>
        <v>13476</v>
      </c>
      <c r="G18" s="554">
        <f>SUM(G11:G16)</f>
        <v>100</v>
      </c>
      <c r="H18" s="94">
        <f>SUM(F18/F10)*100</f>
        <v>83.72266401590457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1:U39"/>
  <sheetViews>
    <sheetView zoomScale="80" zoomScaleNormal="80" workbookViewId="0">
      <selection activeCell="B1" sqref="B1"/>
    </sheetView>
  </sheetViews>
  <sheetFormatPr defaultRowHeight="14.25" x14ac:dyDescent="0.2"/>
  <cols>
    <col min="1" max="1" width="1.7109375" style="44" customWidth="1"/>
    <col min="2" max="2" width="5.5703125" style="44" customWidth="1"/>
    <col min="3" max="3" width="66.5703125" style="44" customWidth="1"/>
    <col min="4" max="4" width="10.85546875" style="44" customWidth="1"/>
    <col min="5" max="5" width="10.42578125" style="44" customWidth="1"/>
    <col min="6" max="6" width="10.140625" style="44" customWidth="1"/>
    <col min="7" max="7" width="14.7109375" style="44" customWidth="1"/>
    <col min="8" max="8" width="14.42578125" style="44" customWidth="1"/>
    <col min="9" max="9" width="12.42578125" style="44" customWidth="1"/>
    <col min="10" max="10" width="15.140625" style="44" customWidth="1"/>
    <col min="11" max="11" width="12.7109375" style="44" customWidth="1"/>
    <col min="12" max="12" width="3.28515625" style="44" customWidth="1"/>
    <col min="13" max="13" width="8" style="44" customWidth="1"/>
    <col min="14" max="14" width="7.7109375" style="44" customWidth="1"/>
    <col min="15" max="15" width="3.28515625" style="44" customWidth="1"/>
    <col min="16" max="16" width="10.7109375" style="44" customWidth="1"/>
    <col min="17" max="17" width="10.42578125" style="44" customWidth="1"/>
    <col min="18" max="18" width="14.28515625" style="44" customWidth="1"/>
    <col min="19" max="19" width="9.85546875" style="44" customWidth="1"/>
    <col min="20" max="20" width="8.7109375" style="44" customWidth="1"/>
    <col min="21" max="21" width="9.28515625" style="44" customWidth="1"/>
    <col min="22" max="16384" width="9.140625" style="44"/>
  </cols>
  <sheetData>
    <row r="1" spans="2:21" x14ac:dyDescent="0.2">
      <c r="B1" s="96" t="s">
        <v>256</v>
      </c>
      <c r="D1" s="45"/>
      <c r="E1" s="45"/>
      <c r="F1" s="45"/>
      <c r="G1" s="382" t="s">
        <v>250</v>
      </c>
      <c r="H1" s="383" t="s">
        <v>248</v>
      </c>
      <c r="I1" s="45"/>
      <c r="J1" s="45"/>
      <c r="K1" s="45"/>
    </row>
    <row r="2" spans="2:21" x14ac:dyDescent="0.2">
      <c r="B2" s="363"/>
      <c r="C2" s="763" t="s">
        <v>296</v>
      </c>
      <c r="D2" s="358"/>
      <c r="E2" s="358"/>
      <c r="F2" s="358"/>
      <c r="G2" s="358"/>
      <c r="H2" s="358"/>
      <c r="I2" s="358"/>
      <c r="J2" s="358"/>
      <c r="K2" s="359"/>
    </row>
    <row r="3" spans="2:21" ht="66" customHeight="1" x14ac:dyDescent="0.2">
      <c r="B3" s="356"/>
      <c r="C3" s="764"/>
      <c r="D3" s="357" t="s">
        <v>102</v>
      </c>
      <c r="E3" s="357" t="s">
        <v>103</v>
      </c>
      <c r="F3" s="357" t="s">
        <v>104</v>
      </c>
      <c r="G3" s="367" t="s">
        <v>105</v>
      </c>
      <c r="H3" s="357" t="s">
        <v>227</v>
      </c>
      <c r="I3" s="357" t="s">
        <v>158</v>
      </c>
      <c r="J3" s="384" t="s">
        <v>177</v>
      </c>
      <c r="K3" s="360" t="s">
        <v>176</v>
      </c>
    </row>
    <row r="4" spans="2:21" ht="36" x14ac:dyDescent="0.2">
      <c r="B4" s="364" t="s">
        <v>100</v>
      </c>
      <c r="C4" s="764"/>
      <c r="D4" s="357"/>
      <c r="E4" s="357"/>
      <c r="F4" s="357"/>
      <c r="G4" s="357" t="s">
        <v>226</v>
      </c>
      <c r="H4" s="357" t="s">
        <v>315</v>
      </c>
      <c r="I4" s="357"/>
      <c r="J4" s="364"/>
      <c r="K4" s="357" t="s">
        <v>315</v>
      </c>
    </row>
    <row r="5" spans="2:21" x14ac:dyDescent="0.2">
      <c r="B5" s="365"/>
      <c r="C5" s="765"/>
      <c r="D5" s="361"/>
      <c r="E5" s="361"/>
      <c r="F5" s="361"/>
      <c r="G5" s="361"/>
      <c r="H5" s="361"/>
      <c r="I5" s="361"/>
      <c r="J5" s="361"/>
      <c r="K5" s="362"/>
      <c r="M5" s="60"/>
      <c r="N5" s="60"/>
      <c r="O5" s="61"/>
      <c r="P5" s="60"/>
      <c r="Q5" s="60"/>
      <c r="R5" s="61"/>
      <c r="S5" s="60"/>
      <c r="T5" s="60"/>
      <c r="U5" s="61"/>
    </row>
    <row r="6" spans="2:21" x14ac:dyDescent="0.2">
      <c r="B6" s="371">
        <v>1</v>
      </c>
      <c r="C6" s="373" t="s">
        <v>2</v>
      </c>
      <c r="D6" s="51">
        <f>SUM('z21'!F6)</f>
        <v>954</v>
      </c>
      <c r="E6" s="51">
        <f>SUM('z21'!G6)</f>
        <v>793</v>
      </c>
      <c r="F6" s="51">
        <f>SUM('z21'!H6)</f>
        <v>523</v>
      </c>
      <c r="G6" s="374">
        <f>SUM(F6/E6)*100</f>
        <v>65.952080706179061</v>
      </c>
      <c r="H6" s="374">
        <f>SUM(J6/F6)</f>
        <v>6620.3884703632884</v>
      </c>
      <c r="I6" s="400">
        <f>SUM('z21'!E6)</f>
        <v>3462.46317</v>
      </c>
      <c r="J6" s="51">
        <f>SUM(I6*1000)</f>
        <v>3462463.17</v>
      </c>
      <c r="K6" s="370">
        <f t="shared" ref="K6:K14" si="0">SUM(J6/D6)</f>
        <v>3629.4163207547167</v>
      </c>
      <c r="M6" s="80"/>
      <c r="N6" s="80"/>
      <c r="O6" s="61"/>
      <c r="P6" s="81"/>
      <c r="Q6" s="60"/>
      <c r="R6" s="60"/>
      <c r="S6" s="62"/>
      <c r="T6" s="62"/>
      <c r="U6" s="62"/>
    </row>
    <row r="7" spans="2:21" x14ac:dyDescent="0.2">
      <c r="B7" s="125">
        <v>2</v>
      </c>
      <c r="C7" s="338" t="s">
        <v>1</v>
      </c>
      <c r="D7" s="46">
        <f>SUM('z21'!F5)</f>
        <v>10106</v>
      </c>
      <c r="E7" s="46">
        <f>SUM('z21'!G5)</f>
        <v>6856</v>
      </c>
      <c r="F7" s="46">
        <f>SUM('z21'!H5)</f>
        <v>5889</v>
      </c>
      <c r="G7" s="126">
        <f t="shared" ref="G7:G14" si="1">SUM(F7/E7)*100</f>
        <v>85.895565927654602</v>
      </c>
      <c r="H7" s="126">
        <f>SUM(J7/F7)</f>
        <v>12296.067845134998</v>
      </c>
      <c r="I7" s="127">
        <f>SUM('z21'!E5)</f>
        <v>72411.543540000013</v>
      </c>
      <c r="J7" s="46">
        <f>SUM(I7*1000)</f>
        <v>72411543.540000007</v>
      </c>
      <c r="K7" s="326">
        <f>SUM(J7/D7)</f>
        <v>7165.2032000791614</v>
      </c>
      <c r="M7" s="80"/>
      <c r="N7" s="60"/>
      <c r="O7" s="61"/>
      <c r="P7" s="81"/>
      <c r="Q7" s="60"/>
      <c r="R7" s="60"/>
      <c r="S7" s="62"/>
      <c r="T7" s="62"/>
      <c r="U7" s="62"/>
    </row>
    <row r="8" spans="2:21" x14ac:dyDescent="0.2">
      <c r="B8" s="125">
        <v>3</v>
      </c>
      <c r="C8" s="338" t="s">
        <v>3</v>
      </c>
      <c r="D8" s="46">
        <f>SUM('z21'!F7)</f>
        <v>4950</v>
      </c>
      <c r="E8" s="46">
        <f>SUM('z21'!G7)</f>
        <v>2960</v>
      </c>
      <c r="F8" s="46">
        <f>SUM('z21'!H7)</f>
        <v>2796</v>
      </c>
      <c r="G8" s="126">
        <f t="shared" si="1"/>
        <v>94.459459459459467</v>
      </c>
      <c r="H8" s="126">
        <f t="shared" ref="H8:H12" si="2">SUM(J8/F8)</f>
        <v>9114.3478612303279</v>
      </c>
      <c r="I8" s="127">
        <f>SUM('z21'!E7)</f>
        <v>25483.716619999996</v>
      </c>
      <c r="J8" s="46">
        <f t="shared" ref="J8:J12" si="3">SUM(I8*1000)</f>
        <v>25483716.619999997</v>
      </c>
      <c r="K8" s="326">
        <f t="shared" si="0"/>
        <v>5148.2255797979797</v>
      </c>
      <c r="M8" s="80"/>
      <c r="N8" s="60"/>
      <c r="O8" s="61"/>
      <c r="P8" s="81"/>
      <c r="Q8" s="60"/>
      <c r="R8" s="60"/>
      <c r="S8" s="62"/>
      <c r="T8" s="62"/>
      <c r="U8" s="62"/>
    </row>
    <row r="9" spans="2:21" x14ac:dyDescent="0.2">
      <c r="B9" s="125">
        <v>4</v>
      </c>
      <c r="C9" s="338" t="s">
        <v>4</v>
      </c>
      <c r="D9" s="46">
        <f>SUM('z21'!F8)</f>
        <v>1817</v>
      </c>
      <c r="E9" s="46">
        <f>SUM('z21'!G8)</f>
        <v>1561</v>
      </c>
      <c r="F9" s="46">
        <f>SUM('z21'!H8)</f>
        <v>1487</v>
      </c>
      <c r="G9" s="126">
        <f t="shared" si="1"/>
        <v>95.259449071108264</v>
      </c>
      <c r="H9" s="126">
        <f>SUM(J9/F9)</f>
        <v>14002.898574310693</v>
      </c>
      <c r="I9" s="127">
        <f>SUM('z21'!E8)</f>
        <v>20822.31018</v>
      </c>
      <c r="J9" s="46">
        <f t="shared" si="3"/>
        <v>20822310.18</v>
      </c>
      <c r="K9" s="326">
        <f>SUM(J9/D9)</f>
        <v>11459.719416620803</v>
      </c>
      <c r="M9" s="80"/>
      <c r="N9" s="60"/>
      <c r="O9" s="61"/>
      <c r="P9" s="81"/>
      <c r="Q9" s="60"/>
      <c r="R9" s="60"/>
      <c r="S9" s="62"/>
      <c r="T9" s="62"/>
      <c r="U9" s="62"/>
    </row>
    <row r="10" spans="2:21" x14ac:dyDescent="0.2">
      <c r="B10" s="125">
        <v>5</v>
      </c>
      <c r="C10" s="338" t="s">
        <v>56</v>
      </c>
      <c r="D10" s="46">
        <f>SUM('z21'!F22)</f>
        <v>2256</v>
      </c>
      <c r="E10" s="46">
        <f>SUM('z21'!G22)</f>
        <v>1625</v>
      </c>
      <c r="F10" s="341">
        <f>SUM('z21'!H22)</f>
        <v>1579</v>
      </c>
      <c r="G10" s="126">
        <f t="shared" si="1"/>
        <v>97.169230769230779</v>
      </c>
      <c r="H10" s="126">
        <f t="shared" si="2"/>
        <v>31878.974920835972</v>
      </c>
      <c r="I10" s="127">
        <f>SUM('z21'!E22)</f>
        <v>50336.901399999995</v>
      </c>
      <c r="J10" s="46">
        <f t="shared" si="3"/>
        <v>50336901.399999999</v>
      </c>
      <c r="K10" s="326">
        <f>SUM(J10/D10)</f>
        <v>22312.456294326239</v>
      </c>
      <c r="M10" s="80"/>
      <c r="N10" s="60"/>
      <c r="O10" s="61"/>
      <c r="P10" s="81"/>
      <c r="Q10" s="60"/>
      <c r="R10" s="60"/>
      <c r="S10" s="62"/>
      <c r="T10" s="62"/>
      <c r="U10" s="62"/>
    </row>
    <row r="11" spans="2:21" ht="15" customHeight="1" x14ac:dyDescent="0.2">
      <c r="B11" s="333">
        <v>6</v>
      </c>
      <c r="C11" s="339" t="s">
        <v>57</v>
      </c>
      <c r="D11" s="52">
        <f>SUM('z21'!F24)</f>
        <v>1869</v>
      </c>
      <c r="E11" s="52">
        <f>SUM('z21'!G24)</f>
        <v>1599</v>
      </c>
      <c r="F11" s="342">
        <f>SUM('z21'!H24)</f>
        <v>1453</v>
      </c>
      <c r="G11" s="354">
        <f t="shared" si="1"/>
        <v>90.869293308317694</v>
      </c>
      <c r="H11" s="354">
        <f t="shared" si="2"/>
        <v>29547.404260151412</v>
      </c>
      <c r="I11" s="351">
        <f>SUM('z21'!E24)</f>
        <v>42932.378389999998</v>
      </c>
      <c r="J11" s="52">
        <f t="shared" si="3"/>
        <v>42932378.390000001</v>
      </c>
      <c r="K11" s="329">
        <f>SUM(J11/D11)</f>
        <v>22970.774954521134</v>
      </c>
      <c r="M11" s="80"/>
      <c r="N11" s="60"/>
      <c r="O11" s="61"/>
      <c r="P11" s="81"/>
      <c r="Q11" s="60"/>
      <c r="R11" s="60"/>
      <c r="S11" s="62"/>
      <c r="T11" s="62"/>
      <c r="U11" s="62"/>
    </row>
    <row r="12" spans="2:21" ht="15" customHeight="1" x14ac:dyDescent="0.2">
      <c r="B12" s="333">
        <v>7</v>
      </c>
      <c r="C12" s="339" t="s">
        <v>11</v>
      </c>
      <c r="D12" s="52">
        <f>SUM('z21'!F17)</f>
        <v>993</v>
      </c>
      <c r="E12" s="52">
        <f>SUM('z21'!G17)</f>
        <v>914</v>
      </c>
      <c r="F12" s="342">
        <f>SUM('z21'!H17)</f>
        <v>864</v>
      </c>
      <c r="G12" s="354">
        <f t="shared" si="1"/>
        <v>94.529540481400446</v>
      </c>
      <c r="H12" s="354">
        <f t="shared" si="2"/>
        <v>9359.3720601851855</v>
      </c>
      <c r="I12" s="351">
        <f>SUM('z21'!E17)</f>
        <v>8086.4974599999996</v>
      </c>
      <c r="J12" s="52">
        <f t="shared" si="3"/>
        <v>8086497.46</v>
      </c>
      <c r="K12" s="329">
        <f t="shared" si="0"/>
        <v>8143.5019738167166</v>
      </c>
      <c r="M12" s="80"/>
      <c r="N12" s="80"/>
      <c r="O12" s="61"/>
      <c r="P12" s="81"/>
      <c r="Q12" s="60"/>
      <c r="R12" s="60"/>
      <c r="S12" s="62"/>
      <c r="T12" s="62"/>
      <c r="U12" s="62"/>
    </row>
    <row r="13" spans="2:21" x14ac:dyDescent="0.2">
      <c r="B13" s="376">
        <v>8</v>
      </c>
      <c r="C13" s="377" t="s">
        <v>288</v>
      </c>
      <c r="D13" s="378">
        <f>SUM(D6:D11)</f>
        <v>21952</v>
      </c>
      <c r="E13" s="378">
        <f>SUM(E6:E11)</f>
        <v>15394</v>
      </c>
      <c r="F13" s="378">
        <f>SUM(F6:F11)</f>
        <v>13727</v>
      </c>
      <c r="G13" s="379">
        <f t="shared" si="1"/>
        <v>89.171105625568401</v>
      </c>
      <c r="H13" s="379">
        <f>SUM(J13/F13)</f>
        <v>15695.294915130766</v>
      </c>
      <c r="I13" s="392">
        <f>SUM(I6:I11)</f>
        <v>215449.31330000001</v>
      </c>
      <c r="J13" s="378">
        <f>SUM(I13*1000)</f>
        <v>215449313.30000001</v>
      </c>
      <c r="K13" s="381">
        <f t="shared" si="0"/>
        <v>9814.5641991618086</v>
      </c>
      <c r="M13" s="80"/>
      <c r="N13" s="80"/>
      <c r="O13" s="61"/>
      <c r="P13" s="81"/>
      <c r="Q13" s="62"/>
      <c r="R13" s="60"/>
      <c r="S13" s="62"/>
      <c r="T13" s="62"/>
      <c r="U13" s="62"/>
    </row>
    <row r="14" spans="2:21" x14ac:dyDescent="0.2">
      <c r="B14" s="375">
        <v>9</v>
      </c>
      <c r="C14" s="373" t="s">
        <v>278</v>
      </c>
      <c r="D14" s="51">
        <f>SUM(D6:D12)</f>
        <v>22945</v>
      </c>
      <c r="E14" s="51">
        <f>SUM(E6:E12)</f>
        <v>16308</v>
      </c>
      <c r="F14" s="51">
        <f>SUM(F6:F12)</f>
        <v>14591</v>
      </c>
      <c r="G14" s="374">
        <f t="shared" si="1"/>
        <v>89.471425067451563</v>
      </c>
      <c r="H14" s="374">
        <f>SUM(J14/F14)</f>
        <v>15320.115876910426</v>
      </c>
      <c r="I14" s="400">
        <f>SUM(I6:I12)</f>
        <v>223535.81076000002</v>
      </c>
      <c r="J14" s="51">
        <f>SUM(I14*1000)</f>
        <v>223535810.76000002</v>
      </c>
      <c r="K14" s="370">
        <f t="shared" si="0"/>
        <v>9742.2449666594039</v>
      </c>
      <c r="M14" s="61"/>
      <c r="N14" s="61"/>
      <c r="O14" s="61"/>
      <c r="P14" s="62"/>
      <c r="Q14" s="62"/>
      <c r="R14" s="62"/>
      <c r="S14" s="62"/>
      <c r="T14" s="62"/>
      <c r="U14" s="60"/>
    </row>
    <row r="16" spans="2:21" x14ac:dyDescent="0.2">
      <c r="D16" s="181">
        <v>82430.333333333299</v>
      </c>
      <c r="E16" s="94"/>
      <c r="I16" s="49"/>
      <c r="J16" s="48"/>
    </row>
    <row r="17" spans="4:16" x14ac:dyDescent="0.2">
      <c r="D17" s="94">
        <f>SUM(D13)/D16*100</f>
        <v>26.6309732258756</v>
      </c>
      <c r="I17" s="49"/>
      <c r="J17" s="50"/>
      <c r="M17" s="99"/>
      <c r="N17" s="100"/>
      <c r="O17" s="100"/>
      <c r="P17" s="99"/>
    </row>
    <row r="18" spans="4:16" ht="12" customHeight="1" x14ac:dyDescent="0.2">
      <c r="D18" s="200">
        <f>SUM(D6:D11)</f>
        <v>21952</v>
      </c>
      <c r="I18" s="50"/>
      <c r="J18" s="49"/>
    </row>
    <row r="19" spans="4:16" x14ac:dyDescent="0.2">
      <c r="D19" s="200">
        <f>SUM(E6:E11)</f>
        <v>15394</v>
      </c>
      <c r="G19" s="47"/>
      <c r="I19" s="50"/>
      <c r="J19" s="49"/>
    </row>
    <row r="20" spans="4:16" x14ac:dyDescent="0.2">
      <c r="D20" s="45">
        <f>SUM(D19)/D18*100</f>
        <v>70.125728862973759</v>
      </c>
      <c r="G20" s="47"/>
      <c r="I20" s="50"/>
      <c r="J20" s="55"/>
    </row>
    <row r="21" spans="4:16" ht="16.5" customHeight="1" x14ac:dyDescent="0.2">
      <c r="D21" s="207">
        <f>SUM(D7)/D13*100</f>
        <v>46.03680758017493</v>
      </c>
      <c r="G21" s="47"/>
      <c r="I21" s="50"/>
      <c r="J21" s="55"/>
    </row>
    <row r="22" spans="4:16" ht="15" customHeight="1" x14ac:dyDescent="0.2">
      <c r="D22" s="206"/>
      <c r="F22" s="47"/>
      <c r="G22" s="47"/>
      <c r="I22" s="50"/>
      <c r="J22" s="55"/>
    </row>
    <row r="23" spans="4:16" ht="15" customHeight="1" x14ac:dyDescent="0.2">
      <c r="G23" s="47"/>
      <c r="I23" s="50"/>
      <c r="J23" s="55"/>
    </row>
    <row r="24" spans="4:16" ht="15" customHeight="1" x14ac:dyDescent="0.2">
      <c r="G24" s="47"/>
      <c r="I24" s="50"/>
    </row>
    <row r="25" spans="4:16" ht="15.75" customHeight="1" x14ac:dyDescent="0.2">
      <c r="G25" s="47"/>
    </row>
    <row r="26" spans="4:16" ht="18" customHeight="1" x14ac:dyDescent="0.2"/>
    <row r="27" spans="4:16" ht="15" customHeight="1" x14ac:dyDescent="0.2"/>
    <row r="32" spans="4:16" ht="63" customHeight="1" x14ac:dyDescent="0.2"/>
    <row r="35" ht="15" customHeight="1" x14ac:dyDescent="0.2"/>
    <row r="36" ht="18.75" customHeight="1" x14ac:dyDescent="0.2"/>
    <row r="37" ht="15.75" customHeight="1" x14ac:dyDescent="0.2"/>
    <row r="38" ht="14.25" customHeight="1" x14ac:dyDescent="0.2"/>
    <row r="39" ht="12" customHeight="1" x14ac:dyDescent="0.2"/>
  </sheetData>
  <mergeCells count="1">
    <mergeCell ref="C2:C5"/>
  </mergeCell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626A2-AA47-4834-A0C5-3D91044E254E}">
  <sheetPr>
    <tabColor theme="3" tint="0.59999389629810485"/>
  </sheetPr>
  <dimension ref="A1:AK80"/>
  <sheetViews>
    <sheetView zoomScale="70" zoomScaleNormal="70" workbookViewId="0">
      <selection activeCell="B1" sqref="B1"/>
    </sheetView>
  </sheetViews>
  <sheetFormatPr defaultRowHeight="14.25" x14ac:dyDescent="0.2"/>
  <cols>
    <col min="1" max="1" width="4.42578125" style="45" customWidth="1"/>
    <col min="2" max="2" width="9.42578125" style="44" customWidth="1"/>
    <col min="3" max="3" width="13.7109375" style="44" customWidth="1"/>
    <col min="4" max="4" width="12.5703125" style="44" customWidth="1"/>
    <col min="5" max="5" width="15.5703125" style="44" customWidth="1"/>
    <col min="6" max="6" width="14.7109375" style="44" customWidth="1"/>
    <col min="7" max="7" width="14.85546875" style="44" customWidth="1"/>
    <col min="8" max="8" width="14.28515625" style="44" customWidth="1"/>
    <col min="9" max="9" width="13.5703125" style="44" customWidth="1"/>
    <col min="10" max="10" width="4.140625" style="45" customWidth="1"/>
    <col min="11" max="11" width="11.28515625" style="44" customWidth="1"/>
    <col min="12" max="12" width="13.140625" style="44" customWidth="1"/>
    <col min="13" max="13" width="13" style="44" customWidth="1"/>
    <col min="14" max="14" width="12.85546875" style="44" customWidth="1"/>
    <col min="15" max="15" width="14" style="44" customWidth="1"/>
    <col min="16" max="16" width="13.85546875" style="44" customWidth="1"/>
    <col min="17" max="17" width="13.28515625" style="44" customWidth="1"/>
    <col min="18" max="18" width="12.5703125" style="44" customWidth="1"/>
    <col min="19" max="19" width="2.42578125" style="44" customWidth="1"/>
    <col min="20" max="20" width="8.85546875" style="44" customWidth="1"/>
    <col min="21" max="22" width="8.42578125" style="44" customWidth="1"/>
    <col min="23" max="23" width="9.140625" style="44"/>
    <col min="24" max="24" width="10.7109375" style="44" customWidth="1"/>
    <col min="25" max="25" width="11.140625" style="44" customWidth="1"/>
    <col min="26" max="26" width="12.140625" style="44" customWidth="1"/>
    <col min="27" max="27" width="12.7109375" style="44" customWidth="1"/>
    <col min="28" max="28" width="3.28515625" style="44" customWidth="1"/>
    <col min="29" max="29" width="8.140625" style="45" customWidth="1"/>
    <col min="30" max="30" width="18" style="44" customWidth="1"/>
    <col min="31" max="31" width="15.42578125" style="44" customWidth="1"/>
    <col min="32" max="32" width="16.28515625" style="44" customWidth="1"/>
    <col min="33" max="33" width="15.140625" style="44" customWidth="1"/>
    <col min="34" max="34" width="15.28515625" style="44" customWidth="1"/>
    <col min="35" max="35" width="17.140625" style="44" customWidth="1"/>
    <col min="36" max="36" width="16" style="44" customWidth="1"/>
    <col min="37" max="16384" width="9.140625" style="44"/>
  </cols>
  <sheetData>
    <row r="1" spans="1:36" x14ac:dyDescent="0.2">
      <c r="B1" s="44" t="s">
        <v>450</v>
      </c>
      <c r="K1" s="44" t="s">
        <v>455</v>
      </c>
      <c r="T1" s="44" t="s">
        <v>451</v>
      </c>
      <c r="AC1" s="44" t="s">
        <v>454</v>
      </c>
    </row>
    <row r="2" spans="1:36" x14ac:dyDescent="0.2">
      <c r="B2" s="550">
        <v>2025</v>
      </c>
      <c r="C2" s="249" t="s">
        <v>127</v>
      </c>
      <c r="D2" s="249" t="s">
        <v>126</v>
      </c>
      <c r="E2" s="249" t="s">
        <v>129</v>
      </c>
      <c r="F2" s="249" t="s">
        <v>130</v>
      </c>
      <c r="G2" s="304" t="s">
        <v>132</v>
      </c>
      <c r="H2" s="249" t="s">
        <v>131</v>
      </c>
      <c r="I2" s="249" t="s">
        <v>274</v>
      </c>
      <c r="K2" s="549">
        <v>2025</v>
      </c>
      <c r="L2" s="249" t="s">
        <v>127</v>
      </c>
      <c r="M2" s="249" t="s">
        <v>126</v>
      </c>
      <c r="N2" s="249" t="s">
        <v>129</v>
      </c>
      <c r="O2" s="249" t="s">
        <v>130</v>
      </c>
      <c r="P2" s="304" t="s">
        <v>132</v>
      </c>
      <c r="Q2" s="249" t="s">
        <v>131</v>
      </c>
      <c r="R2" s="249" t="s">
        <v>274</v>
      </c>
      <c r="T2" s="550">
        <v>2025</v>
      </c>
      <c r="U2" s="249" t="s">
        <v>127</v>
      </c>
      <c r="V2" s="249" t="s">
        <v>126</v>
      </c>
      <c r="W2" s="249" t="s">
        <v>129</v>
      </c>
      <c r="X2" s="249" t="s">
        <v>130</v>
      </c>
      <c r="Y2" s="304" t="s">
        <v>132</v>
      </c>
      <c r="Z2" s="304" t="s">
        <v>131</v>
      </c>
      <c r="AA2" s="249" t="s">
        <v>274</v>
      </c>
      <c r="AC2" s="550">
        <v>2025</v>
      </c>
      <c r="AD2" s="302" t="s">
        <v>127</v>
      </c>
      <c r="AE2" s="302" t="s">
        <v>126</v>
      </c>
      <c r="AF2" s="302" t="s">
        <v>129</v>
      </c>
      <c r="AG2" s="302" t="s">
        <v>130</v>
      </c>
      <c r="AH2" s="302" t="s">
        <v>132</v>
      </c>
      <c r="AI2" s="302" t="s">
        <v>131</v>
      </c>
      <c r="AJ2" s="302" t="s">
        <v>274</v>
      </c>
    </row>
    <row r="3" spans="1:36" x14ac:dyDescent="0.2">
      <c r="A3" s="45">
        <v>1</v>
      </c>
      <c r="B3" s="125">
        <v>1801</v>
      </c>
      <c r="C3" s="46">
        <f>SUM('01'!O3)</f>
        <v>109</v>
      </c>
      <c r="D3" s="46">
        <f>SUM('01'!O4)</f>
        <v>14</v>
      </c>
      <c r="E3" s="46">
        <f>SUM('01'!O5)</f>
        <v>99</v>
      </c>
      <c r="F3" s="46">
        <f>SUM('01'!O6)</f>
        <v>36</v>
      </c>
      <c r="G3" s="129">
        <f>SUM('01'!O21)</f>
        <v>33</v>
      </c>
      <c r="H3" s="129">
        <f>SUM('01'!O23)</f>
        <v>4</v>
      </c>
      <c r="I3" s="46">
        <f>SUM('01'!O15)</f>
        <v>37</v>
      </c>
      <c r="K3" s="125">
        <v>1801</v>
      </c>
      <c r="L3" s="46">
        <f>SUM('01'!P3)</f>
        <v>97</v>
      </c>
      <c r="M3" s="46">
        <f>SUM('01'!P4)</f>
        <v>13</v>
      </c>
      <c r="N3" s="46">
        <f>SUM('01'!P5)</f>
        <v>53</v>
      </c>
      <c r="O3" s="46">
        <f>SUM('01'!P6)</f>
        <v>24</v>
      </c>
      <c r="P3" s="129">
        <f>SUM('01'!P21)</f>
        <v>41</v>
      </c>
      <c r="Q3" s="129">
        <f>SUM('01'!P23)</f>
        <v>19</v>
      </c>
      <c r="R3" s="46">
        <f>SUM('01'!P15)</f>
        <v>52</v>
      </c>
      <c r="T3" s="125">
        <v>1801</v>
      </c>
      <c r="U3" s="46">
        <f>SUM('01'!Q3)</f>
        <v>85</v>
      </c>
      <c r="V3" s="46">
        <f>SUM('01'!Q4)</f>
        <v>7</v>
      </c>
      <c r="W3" s="46">
        <f>SUM('01'!Q5)</f>
        <v>51</v>
      </c>
      <c r="X3" s="46">
        <f>SUM('01'!Q6)</f>
        <v>24</v>
      </c>
      <c r="Y3" s="129">
        <f>SUM('01'!Q21)</f>
        <v>40</v>
      </c>
      <c r="Z3" s="129">
        <f>SUM('01'!Q23)</f>
        <v>19</v>
      </c>
      <c r="AA3" s="46">
        <f>SUM('01'!Q15)</f>
        <v>40</v>
      </c>
      <c r="AC3" s="125">
        <v>1801</v>
      </c>
      <c r="AD3" s="127">
        <f t="shared" ref="AD3:AD9" si="0">SUM(C27)*1000</f>
        <v>1463295.63</v>
      </c>
      <c r="AE3" s="127">
        <f t="shared" ref="AE3:AJ9" si="1">SUM(D27)*1000</f>
        <v>144677.32</v>
      </c>
      <c r="AF3" s="127">
        <f t="shared" si="1"/>
        <v>941910.4</v>
      </c>
      <c r="AG3" s="127">
        <f t="shared" si="1"/>
        <v>786245.54</v>
      </c>
      <c r="AH3" s="127">
        <f>SUM(G27)*1000</f>
        <v>1239603</v>
      </c>
      <c r="AI3" s="127">
        <f>SUM(H27)*1000</f>
        <v>157398.37</v>
      </c>
      <c r="AJ3" s="127">
        <f t="shared" si="1"/>
        <v>481000</v>
      </c>
    </row>
    <row r="4" spans="1:36" x14ac:dyDescent="0.2">
      <c r="A4" s="45">
        <v>2</v>
      </c>
      <c r="B4" s="125">
        <v>1802</v>
      </c>
      <c r="C4" s="46">
        <f>SUM('02'!O3)</f>
        <v>343</v>
      </c>
      <c r="D4" s="46">
        <f>SUM('02'!O4)</f>
        <v>17</v>
      </c>
      <c r="E4" s="46">
        <f>SUM('02'!O5)</f>
        <v>191</v>
      </c>
      <c r="F4" s="46">
        <f>SUM('02'!O6)</f>
        <v>63</v>
      </c>
      <c r="G4" s="129">
        <f>SUM('02'!O21)</f>
        <v>116</v>
      </c>
      <c r="H4" s="129">
        <f>SUM('02'!O23)</f>
        <v>58</v>
      </c>
      <c r="I4" s="46">
        <f>SUM('02'!O15)</f>
        <v>72</v>
      </c>
      <c r="K4" s="125">
        <v>1802</v>
      </c>
      <c r="L4" s="46">
        <f>SUM('02'!P3)</f>
        <v>236</v>
      </c>
      <c r="M4" s="46">
        <f>SUM('02'!P4)</f>
        <v>18</v>
      </c>
      <c r="N4" s="46">
        <f>SUM('02'!P5)</f>
        <v>138</v>
      </c>
      <c r="O4" s="46">
        <f>SUM('02'!P6)</f>
        <v>60</v>
      </c>
      <c r="P4" s="129">
        <f>SUM('02'!P21)</f>
        <v>132</v>
      </c>
      <c r="Q4" s="129">
        <f>SUM('02'!P23)</f>
        <v>48</v>
      </c>
      <c r="R4" s="46">
        <f>SUM('02'!P15)</f>
        <v>59</v>
      </c>
      <c r="T4" s="125">
        <v>1802</v>
      </c>
      <c r="U4" s="46">
        <f>SUM('02'!Q3)</f>
        <v>208</v>
      </c>
      <c r="V4" s="46">
        <f>SUM('02'!Q4)</f>
        <v>17</v>
      </c>
      <c r="W4" s="46">
        <f>SUM('02'!Q5)</f>
        <v>136</v>
      </c>
      <c r="X4" s="46">
        <f>SUM('02'!Q6)</f>
        <v>60</v>
      </c>
      <c r="Y4" s="129">
        <f>SUM('02'!Q21)</f>
        <v>131</v>
      </c>
      <c r="Z4" s="129">
        <f>SUM('02'!Q23)</f>
        <v>47</v>
      </c>
      <c r="AA4" s="46">
        <f>SUM('02'!Q15)</f>
        <v>53</v>
      </c>
      <c r="AC4" s="125">
        <v>1802</v>
      </c>
      <c r="AD4" s="127">
        <f t="shared" si="0"/>
        <v>4111367.9000000004</v>
      </c>
      <c r="AE4" s="127">
        <f t="shared" si="1"/>
        <v>155614.10999999999</v>
      </c>
      <c r="AF4" s="127">
        <f t="shared" si="1"/>
        <v>1264066.8700000001</v>
      </c>
      <c r="AG4" s="127">
        <f t="shared" si="1"/>
        <v>1315618.08</v>
      </c>
      <c r="AH4" s="127">
        <f t="shared" si="1"/>
        <v>4438594.92</v>
      </c>
      <c r="AI4" s="127">
        <f t="shared" si="1"/>
        <v>2327284.88</v>
      </c>
      <c r="AJ4" s="127">
        <f t="shared" si="1"/>
        <v>936000</v>
      </c>
    </row>
    <row r="5" spans="1:36" x14ac:dyDescent="0.2">
      <c r="A5" s="45">
        <v>3</v>
      </c>
      <c r="B5" s="125">
        <v>1803</v>
      </c>
      <c r="C5" s="46">
        <f>SUM('03'!O3)</f>
        <v>255</v>
      </c>
      <c r="D5" s="46">
        <f>SUM('03'!O4)</f>
        <v>18</v>
      </c>
      <c r="E5" s="46">
        <f>SUM('03'!O5)</f>
        <v>241</v>
      </c>
      <c r="F5" s="46">
        <f>SUM('03'!O6)</f>
        <v>4</v>
      </c>
      <c r="G5" s="129">
        <f>SUM('03'!O21)</f>
        <v>75</v>
      </c>
      <c r="H5" s="129">
        <f>SUM('03'!O23)</f>
        <v>44</v>
      </c>
      <c r="I5" s="46">
        <f>SUM('03'!O15)</f>
        <v>24</v>
      </c>
      <c r="K5" s="125">
        <v>1803</v>
      </c>
      <c r="L5" s="46">
        <f>SUM('03'!P3)</f>
        <v>160</v>
      </c>
      <c r="M5" s="46">
        <f>SUM('03'!P4)</f>
        <v>18</v>
      </c>
      <c r="N5" s="46">
        <f>SUM('03'!P5)</f>
        <v>189</v>
      </c>
      <c r="O5" s="46">
        <f>SUM('03'!P6)</f>
        <v>4</v>
      </c>
      <c r="P5" s="129">
        <f>SUM('03'!P21)</f>
        <v>85</v>
      </c>
      <c r="Q5" s="129">
        <f>SUM('03'!P23)</f>
        <v>39</v>
      </c>
      <c r="R5" s="46">
        <f>SUM('03'!P15)</f>
        <v>31</v>
      </c>
      <c r="T5" s="125">
        <v>1803</v>
      </c>
      <c r="U5" s="46">
        <f>SUM('03'!Q3)</f>
        <v>108</v>
      </c>
      <c r="V5" s="46">
        <f>SUM('03'!Q4)</f>
        <v>12</v>
      </c>
      <c r="W5" s="46">
        <f>SUM('03'!Q5)</f>
        <v>184</v>
      </c>
      <c r="X5" s="46">
        <f>SUM('03'!Q6)</f>
        <v>4</v>
      </c>
      <c r="Y5" s="129">
        <f>SUM('03'!Q21)</f>
        <v>85</v>
      </c>
      <c r="Z5" s="129">
        <f>SUM('03'!Q23)</f>
        <v>39</v>
      </c>
      <c r="AA5" s="46">
        <f>SUM('03'!Q15)</f>
        <v>29</v>
      </c>
      <c r="AC5" s="125">
        <v>1803</v>
      </c>
      <c r="AD5" s="127">
        <f t="shared" si="0"/>
        <v>2690213.35</v>
      </c>
      <c r="AE5" s="127">
        <f t="shared" si="1"/>
        <v>87040.56</v>
      </c>
      <c r="AF5" s="127">
        <f t="shared" si="1"/>
        <v>1776033.82</v>
      </c>
      <c r="AG5" s="127">
        <f t="shared" si="1"/>
        <v>46627.17</v>
      </c>
      <c r="AH5" s="127">
        <f t="shared" si="1"/>
        <v>2068918.11</v>
      </c>
      <c r="AI5" s="127">
        <f t="shared" si="1"/>
        <v>1329000</v>
      </c>
      <c r="AJ5" s="127">
        <f t="shared" si="1"/>
        <v>240000</v>
      </c>
    </row>
    <row r="6" spans="1:36" x14ac:dyDescent="0.2">
      <c r="A6" s="45">
        <v>4</v>
      </c>
      <c r="B6" s="125">
        <v>1804</v>
      </c>
      <c r="C6" s="46">
        <f>SUM('04'!O3)</f>
        <v>284</v>
      </c>
      <c r="D6" s="46">
        <f>SUM('04'!O4)</f>
        <v>33</v>
      </c>
      <c r="E6" s="46">
        <f>SUM('04'!O5)</f>
        <v>155</v>
      </c>
      <c r="F6" s="46">
        <f>SUM('04'!O6)</f>
        <v>303</v>
      </c>
      <c r="G6" s="129">
        <f>SUM('04'!O21)</f>
        <v>117</v>
      </c>
      <c r="H6" s="129">
        <f>SUM('04'!O23)</f>
        <v>66</v>
      </c>
      <c r="I6" s="46">
        <f>SUM('04'!O15)</f>
        <v>82</v>
      </c>
      <c r="K6" s="125">
        <v>1804</v>
      </c>
      <c r="L6" s="46">
        <f>SUM('04'!P3)</f>
        <v>262</v>
      </c>
      <c r="M6" s="46">
        <f>SUM('04'!P4)</f>
        <v>33</v>
      </c>
      <c r="N6" s="46">
        <f>SUM('04'!P5)</f>
        <v>127</v>
      </c>
      <c r="O6" s="46">
        <f>SUM('04'!P6)</f>
        <v>234</v>
      </c>
      <c r="P6" s="129">
        <f>SUM('04'!P21)</f>
        <v>93</v>
      </c>
      <c r="Q6" s="129">
        <f>SUM('04'!P23)</f>
        <v>124</v>
      </c>
      <c r="R6" s="46">
        <f>SUM('04'!P15)</f>
        <v>31</v>
      </c>
      <c r="T6" s="125">
        <v>1804</v>
      </c>
      <c r="U6" s="46">
        <f>SUM('04'!Q3)</f>
        <v>232</v>
      </c>
      <c r="V6" s="46">
        <f>SUM('04'!Q4)</f>
        <v>24</v>
      </c>
      <c r="W6" s="46">
        <f>SUM('04'!Q5)</f>
        <v>125</v>
      </c>
      <c r="X6" s="46">
        <f>SUM('04'!Q6)</f>
        <v>230</v>
      </c>
      <c r="Y6" s="129">
        <f>SUM('04'!Q21)</f>
        <v>93</v>
      </c>
      <c r="Z6" s="129">
        <f>SUM('04'!Q23)</f>
        <v>123</v>
      </c>
      <c r="AA6" s="46">
        <f>SUM('04'!Q15)</f>
        <v>25</v>
      </c>
      <c r="AC6" s="125">
        <v>1804</v>
      </c>
      <c r="AD6" s="127">
        <f t="shared" si="0"/>
        <v>3924402.13</v>
      </c>
      <c r="AE6" s="127">
        <f t="shared" si="1"/>
        <v>315527.67</v>
      </c>
      <c r="AF6" s="127">
        <f t="shared" si="1"/>
        <v>897458.74</v>
      </c>
      <c r="AG6" s="127">
        <f t="shared" si="1"/>
        <v>5886563.9800000004</v>
      </c>
      <c r="AH6" s="127">
        <f t="shared" si="1"/>
        <v>2403510</v>
      </c>
      <c r="AI6" s="127">
        <f t="shared" si="1"/>
        <v>2300854.4500000002</v>
      </c>
      <c r="AJ6" s="127">
        <f t="shared" si="1"/>
        <v>1010665.5</v>
      </c>
    </row>
    <row r="7" spans="1:36" x14ac:dyDescent="0.2">
      <c r="A7" s="45">
        <v>5</v>
      </c>
      <c r="B7" s="125">
        <v>1805</v>
      </c>
      <c r="C7" s="46">
        <f>SUM('05'!O3)</f>
        <v>299</v>
      </c>
      <c r="D7" s="46">
        <f>SUM('05'!O4)</f>
        <v>67</v>
      </c>
      <c r="E7" s="46">
        <f>SUM('05'!O5)</f>
        <v>221</v>
      </c>
      <c r="F7" s="315">
        <f>SUM('05'!O6)</f>
        <v>77</v>
      </c>
      <c r="G7" s="129">
        <f>SUM('05'!O21)</f>
        <v>115</v>
      </c>
      <c r="H7" s="129">
        <f>SUM('05'!O23)</f>
        <v>170</v>
      </c>
      <c r="I7" s="46">
        <f>SUM('05'!O15)</f>
        <v>51</v>
      </c>
      <c r="K7" s="125">
        <v>1805</v>
      </c>
      <c r="L7" s="46">
        <f>SUM('05'!P3)</f>
        <v>213</v>
      </c>
      <c r="M7" s="46">
        <f>SUM('05'!P4)</f>
        <v>37</v>
      </c>
      <c r="N7" s="46">
        <f>SUM('05'!P5)</f>
        <v>162</v>
      </c>
      <c r="O7" s="46">
        <f>SUM('05'!P6)</f>
        <v>64</v>
      </c>
      <c r="P7" s="129">
        <f>SUM('05'!P21)</f>
        <v>109</v>
      </c>
      <c r="Q7" s="129">
        <f>SUM('05'!P23)</f>
        <v>186</v>
      </c>
      <c r="R7" s="46">
        <f>SUM('05'!P15)</f>
        <v>44</v>
      </c>
      <c r="T7" s="125">
        <v>1805</v>
      </c>
      <c r="U7" s="46">
        <f>SUM('05'!Q3)</f>
        <v>187</v>
      </c>
      <c r="V7" s="46">
        <f>SUM('05'!Q4)</f>
        <v>15</v>
      </c>
      <c r="W7" s="46">
        <f>SUM('05'!Q5)</f>
        <v>150</v>
      </c>
      <c r="X7" s="46">
        <f>SUM('05'!Q6)</f>
        <v>61</v>
      </c>
      <c r="Y7" s="129">
        <f>SUM('05'!Q21)</f>
        <v>106</v>
      </c>
      <c r="Z7" s="129">
        <f>SUM('05'!Q23)</f>
        <v>160</v>
      </c>
      <c r="AA7" s="46">
        <f>SUM('05'!Q15)</f>
        <v>37</v>
      </c>
      <c r="AC7" s="125">
        <v>1805</v>
      </c>
      <c r="AD7" s="127">
        <f t="shared" si="0"/>
        <v>3692090.78</v>
      </c>
      <c r="AE7" s="127">
        <f t="shared" si="1"/>
        <v>264195.76</v>
      </c>
      <c r="AF7" s="127">
        <f t="shared" si="1"/>
        <v>1494047.78</v>
      </c>
      <c r="AG7" s="251">
        <f t="shared" si="1"/>
        <v>1283528.3500000001</v>
      </c>
      <c r="AH7" s="127">
        <f t="shared" si="1"/>
        <v>3866285.39</v>
      </c>
      <c r="AI7" s="127">
        <f t="shared" si="1"/>
        <v>6263794.9900000002</v>
      </c>
      <c r="AJ7" s="127">
        <f t="shared" si="1"/>
        <v>600818.73</v>
      </c>
    </row>
    <row r="8" spans="1:36" x14ac:dyDescent="0.2">
      <c r="A8" s="45">
        <v>6</v>
      </c>
      <c r="B8" s="125">
        <v>1806</v>
      </c>
      <c r="C8" s="46">
        <f>SUM('06'!O3)</f>
        <v>217</v>
      </c>
      <c r="D8" s="46">
        <f>SUM('06'!O4)</f>
        <v>61</v>
      </c>
      <c r="E8" s="46">
        <f>SUM('06'!O5)</f>
        <v>112</v>
      </c>
      <c r="F8" s="46">
        <f>SUM('06'!O6)</f>
        <v>26</v>
      </c>
      <c r="G8" s="129">
        <f>SUM('06'!O21)</f>
        <v>56</v>
      </c>
      <c r="H8" s="129">
        <f>SUM('06'!O23)</f>
        <v>28</v>
      </c>
      <c r="I8" s="247">
        <f>SUM('06'!O15)</f>
        <v>0</v>
      </c>
      <c r="K8" s="125">
        <v>1806</v>
      </c>
      <c r="L8" s="46">
        <f>SUM('06'!P3)</f>
        <v>111</v>
      </c>
      <c r="M8" s="46">
        <f>SUM('06'!P4)</f>
        <v>50</v>
      </c>
      <c r="N8" s="46">
        <f>SUM('06'!P5)</f>
        <v>93</v>
      </c>
      <c r="O8" s="46">
        <f>SUM('06'!P6)</f>
        <v>17</v>
      </c>
      <c r="P8" s="129">
        <f>SUM('06'!P21)</f>
        <v>38</v>
      </c>
      <c r="Q8" s="129">
        <f>SUM('06'!P23)</f>
        <v>71</v>
      </c>
      <c r="R8" s="46">
        <f>SUM('06'!P15)</f>
        <v>0</v>
      </c>
      <c r="T8" s="125">
        <v>1806</v>
      </c>
      <c r="U8" s="46">
        <f>SUM('06'!Q3)</f>
        <v>97</v>
      </c>
      <c r="V8" s="46">
        <f>SUM('06'!Q4)</f>
        <v>20</v>
      </c>
      <c r="W8" s="46">
        <f>SUM('06'!Q5)</f>
        <v>90</v>
      </c>
      <c r="X8" s="46">
        <f>SUM('06'!Q6)</f>
        <v>16</v>
      </c>
      <c r="Y8" s="129">
        <f>SUM('06'!Q21)</f>
        <v>38</v>
      </c>
      <c r="Z8" s="129">
        <f>SUM('06'!Q23)</f>
        <v>70</v>
      </c>
      <c r="AA8" s="46">
        <f>SUM('06'!Q15)</f>
        <v>0</v>
      </c>
      <c r="AC8" s="125">
        <v>1806</v>
      </c>
      <c r="AD8" s="127">
        <f t="shared" si="0"/>
        <v>2039914.92</v>
      </c>
      <c r="AE8" s="127">
        <f t="shared" si="1"/>
        <v>349572.22</v>
      </c>
      <c r="AF8" s="127">
        <f t="shared" si="1"/>
        <v>865088.08</v>
      </c>
      <c r="AG8" s="127">
        <f t="shared" si="1"/>
        <v>416919.3</v>
      </c>
      <c r="AH8" s="127">
        <f t="shared" si="1"/>
        <v>2221209.91</v>
      </c>
      <c r="AI8" s="127">
        <f t="shared" si="1"/>
        <v>1391765.08</v>
      </c>
      <c r="AJ8" s="253">
        <f>SUM(I32)*1000</f>
        <v>0</v>
      </c>
    </row>
    <row r="9" spans="1:36" x14ac:dyDescent="0.2">
      <c r="A9" s="45">
        <v>7</v>
      </c>
      <c r="B9" s="252" t="s">
        <v>255</v>
      </c>
      <c r="C9" s="46">
        <f>SUM('07'!O3)</f>
        <v>288</v>
      </c>
      <c r="D9" s="46">
        <f>SUM('07'!O4)</f>
        <v>40</v>
      </c>
      <c r="E9" s="46">
        <f>SUM('07'!O5)</f>
        <v>133</v>
      </c>
      <c r="F9" s="46">
        <f>SUM('07'!O6)</f>
        <v>38</v>
      </c>
      <c r="G9" s="129">
        <f>SUM('07'!O21)</f>
        <v>88</v>
      </c>
      <c r="H9" s="129">
        <f>SUM('07'!O23)</f>
        <v>70</v>
      </c>
      <c r="I9" s="46">
        <f>SUM('07'!O15)</f>
        <v>41</v>
      </c>
      <c r="K9" s="252" t="s">
        <v>255</v>
      </c>
      <c r="L9" s="46">
        <f>SUM('07'!P3)</f>
        <v>195</v>
      </c>
      <c r="M9" s="46">
        <f>SUM('07'!P4)</f>
        <v>16</v>
      </c>
      <c r="N9" s="46">
        <f>SUM('07'!P5)</f>
        <v>78</v>
      </c>
      <c r="O9" s="46">
        <f>SUM('07'!P6)</f>
        <v>27</v>
      </c>
      <c r="P9" s="129">
        <f>SUM('07'!P21)</f>
        <v>81</v>
      </c>
      <c r="Q9" s="129">
        <f>SUM('07'!P23)</f>
        <v>95</v>
      </c>
      <c r="R9" s="46">
        <f>SUM('07'!P15)</f>
        <v>34</v>
      </c>
      <c r="T9" s="252" t="s">
        <v>255</v>
      </c>
      <c r="U9" s="46">
        <f>SUM('07'!Q3)</f>
        <v>169</v>
      </c>
      <c r="V9" s="46">
        <f>SUM('07'!Q4)</f>
        <v>7</v>
      </c>
      <c r="W9" s="46">
        <f>SUM('07'!Q5)</f>
        <v>78</v>
      </c>
      <c r="X9" s="46">
        <f>SUM('07'!Q6)</f>
        <v>27</v>
      </c>
      <c r="Y9" s="129">
        <f>SUM('07'!Q21)</f>
        <v>81</v>
      </c>
      <c r="Z9" s="129">
        <f>SUM('07'!Q23)</f>
        <v>79</v>
      </c>
      <c r="AA9" s="46">
        <f>SUM('07'!Q15)</f>
        <v>33</v>
      </c>
      <c r="AC9" s="252" t="s">
        <v>255</v>
      </c>
      <c r="AD9" s="127">
        <f t="shared" si="0"/>
        <v>2761203.66</v>
      </c>
      <c r="AE9" s="127">
        <f t="shared" si="1"/>
        <v>94923.37</v>
      </c>
      <c r="AF9" s="127">
        <f t="shared" si="1"/>
        <v>815143.27</v>
      </c>
      <c r="AG9" s="127">
        <f t="shared" si="1"/>
        <v>394641.09</v>
      </c>
      <c r="AH9" s="127">
        <f t="shared" si="1"/>
        <v>2965694.23</v>
      </c>
      <c r="AI9" s="127">
        <f t="shared" si="1"/>
        <v>2671506.9500000002</v>
      </c>
      <c r="AJ9" s="127">
        <f t="shared" si="1"/>
        <v>328000</v>
      </c>
    </row>
    <row r="10" spans="1:36" x14ac:dyDescent="0.2">
      <c r="A10" s="45">
        <v>8</v>
      </c>
      <c r="B10" s="125">
        <v>1808</v>
      </c>
      <c r="C10" s="46">
        <f>SUM('08'!O3)</f>
        <v>427</v>
      </c>
      <c r="D10" s="46">
        <f>SUM('08'!O4)</f>
        <v>90</v>
      </c>
      <c r="E10" s="46">
        <f>SUM('08'!O5)</f>
        <v>85</v>
      </c>
      <c r="F10" s="46">
        <f>SUM('08'!O6)</f>
        <v>146</v>
      </c>
      <c r="G10" s="129">
        <f>SUM('08'!O21)</f>
        <v>60</v>
      </c>
      <c r="H10" s="129">
        <f>SUM('08'!O23)</f>
        <v>25</v>
      </c>
      <c r="I10" s="46">
        <f>SUM('08'!O15)</f>
        <v>20</v>
      </c>
      <c r="K10" s="125">
        <v>1808</v>
      </c>
      <c r="L10" s="46">
        <f>SUM('08'!P3)</f>
        <v>361</v>
      </c>
      <c r="M10" s="46">
        <f>SUM('08'!P4)</f>
        <v>86</v>
      </c>
      <c r="N10" s="46">
        <f>SUM('08'!P5)</f>
        <v>74</v>
      </c>
      <c r="O10" s="46">
        <f>SUM('08'!P6)</f>
        <v>141</v>
      </c>
      <c r="P10" s="129">
        <f>SUM('08'!P21)</f>
        <v>66</v>
      </c>
      <c r="Q10" s="129">
        <f>SUM('08'!P23)</f>
        <v>76</v>
      </c>
      <c r="R10" s="46">
        <f>SUM('08'!P15)</f>
        <v>24</v>
      </c>
      <c r="T10" s="125">
        <v>1808</v>
      </c>
      <c r="U10" s="46">
        <f>SUM('08'!Q3)</f>
        <v>308</v>
      </c>
      <c r="V10" s="46">
        <f>SUM('08'!Q4)</f>
        <v>16</v>
      </c>
      <c r="W10" s="46">
        <f>SUM('08'!Q5)</f>
        <v>71</v>
      </c>
      <c r="X10" s="46">
        <f>SUM('08'!Q6)</f>
        <v>137</v>
      </c>
      <c r="Y10" s="129">
        <f>SUM('08'!Q21)</f>
        <v>59</v>
      </c>
      <c r="Z10" s="129">
        <f>SUM('08'!Q23)</f>
        <v>60</v>
      </c>
      <c r="AA10" s="46">
        <f>SUM('08'!Q15)</f>
        <v>21</v>
      </c>
      <c r="AC10" s="125">
        <v>1808</v>
      </c>
      <c r="AD10" s="127">
        <f>SUM(C35)*1000</f>
        <v>5492253.2000000002</v>
      </c>
      <c r="AE10" s="127">
        <f t="shared" ref="AD10:AJ16" si="2">SUM(D35)*1000</f>
        <v>405599.18</v>
      </c>
      <c r="AF10" s="127">
        <f t="shared" si="2"/>
        <v>699857.78</v>
      </c>
      <c r="AG10" s="127">
        <f t="shared" si="2"/>
        <v>1669015.18</v>
      </c>
      <c r="AH10" s="127">
        <f t="shared" si="2"/>
        <v>1994090.2</v>
      </c>
      <c r="AI10" s="127">
        <f t="shared" si="2"/>
        <v>902120.32</v>
      </c>
      <c r="AJ10" s="127">
        <f>SUM(I35)*1000</f>
        <v>220000</v>
      </c>
    </row>
    <row r="11" spans="1:36" x14ac:dyDescent="0.2">
      <c r="A11" s="45">
        <v>9</v>
      </c>
      <c r="B11" s="125">
        <v>1809</v>
      </c>
      <c r="C11" s="46">
        <f>SUM('09'!O3)</f>
        <v>320</v>
      </c>
      <c r="D11" s="46">
        <f>SUM('09'!O4)</f>
        <v>2</v>
      </c>
      <c r="E11" s="46">
        <f>SUM('09'!O5)</f>
        <v>219</v>
      </c>
      <c r="F11" s="46">
        <f>SUM('09'!O6)</f>
        <v>24</v>
      </c>
      <c r="G11" s="129">
        <f>SUM('09'!O21)</f>
        <v>17</v>
      </c>
      <c r="H11" s="301">
        <f>SUM('09'!O23)</f>
        <v>0</v>
      </c>
      <c r="I11" s="46">
        <f>SUM('09'!O15)</f>
        <v>77</v>
      </c>
      <c r="K11" s="125">
        <v>1809</v>
      </c>
      <c r="L11" s="46">
        <f>SUM('09'!P3)</f>
        <v>276</v>
      </c>
      <c r="M11" s="46">
        <f>SUM('09'!P4)</f>
        <v>2</v>
      </c>
      <c r="N11" s="46">
        <f>SUM('09'!P5)</f>
        <v>150</v>
      </c>
      <c r="O11" s="46">
        <f>SUM('09'!P6)</f>
        <v>24</v>
      </c>
      <c r="P11" s="129">
        <f>SUM('09'!P21)</f>
        <v>27</v>
      </c>
      <c r="Q11" s="129">
        <f>SUM('09'!P23)</f>
        <v>16</v>
      </c>
      <c r="R11" s="46">
        <f>SUM('09'!P15)</f>
        <v>72</v>
      </c>
      <c r="T11" s="125">
        <v>1809</v>
      </c>
      <c r="U11" s="46">
        <f>SUM('09'!Q3)</f>
        <v>236</v>
      </c>
      <c r="V11" s="46">
        <f>SUM('09'!Q4)</f>
        <v>2</v>
      </c>
      <c r="W11" s="46">
        <f>SUM('09'!Q5)</f>
        <v>148</v>
      </c>
      <c r="X11" s="46">
        <f>SUM('09'!Q6)</f>
        <v>24</v>
      </c>
      <c r="Y11" s="129">
        <f>SUM('09'!Q21)</f>
        <v>27</v>
      </c>
      <c r="Z11" s="129">
        <f>SUM('09'!Q23)</f>
        <v>16</v>
      </c>
      <c r="AA11" s="46">
        <f>SUM('09'!Q15)</f>
        <v>65</v>
      </c>
      <c r="AC11" s="125">
        <v>1809</v>
      </c>
      <c r="AD11" s="127">
        <f>SUM(C36)*1000</f>
        <v>3385893.77</v>
      </c>
      <c r="AE11" s="127">
        <f t="shared" si="2"/>
        <v>19570.580000000002</v>
      </c>
      <c r="AF11" s="127">
        <f t="shared" si="2"/>
        <v>1762696.36</v>
      </c>
      <c r="AG11" s="127">
        <f t="shared" si="2"/>
        <v>532263.63</v>
      </c>
      <c r="AH11" s="127">
        <f t="shared" si="2"/>
        <v>746272</v>
      </c>
      <c r="AI11" s="253">
        <f>SUM(H36)*1000</f>
        <v>0</v>
      </c>
      <c r="AJ11" s="127">
        <f t="shared" si="2"/>
        <v>670850</v>
      </c>
    </row>
    <row r="12" spans="1:36" x14ac:dyDescent="0.2">
      <c r="A12" s="45">
        <v>10</v>
      </c>
      <c r="B12" s="125">
        <v>1810</v>
      </c>
      <c r="C12" s="46">
        <f>SUM('10'!O3)</f>
        <v>189</v>
      </c>
      <c r="D12" s="46">
        <f>SUM('10'!O4)</f>
        <v>61</v>
      </c>
      <c r="E12" s="46">
        <f>SUM('10'!O5)</f>
        <v>149</v>
      </c>
      <c r="F12" s="46">
        <f>SUM('10'!O6)</f>
        <v>103</v>
      </c>
      <c r="G12" s="129">
        <f>SUM('10'!O21)</f>
        <v>66</v>
      </c>
      <c r="H12" s="129">
        <f>SUM('10'!O23)</f>
        <v>53</v>
      </c>
      <c r="I12" s="46">
        <f>SUM('10'!O15)</f>
        <v>25</v>
      </c>
      <c r="K12" s="125">
        <v>1810</v>
      </c>
      <c r="L12" s="46">
        <f>SUM('10'!P3)</f>
        <v>142</v>
      </c>
      <c r="M12" s="46">
        <f>SUM('10'!P4)</f>
        <v>61</v>
      </c>
      <c r="N12" s="46">
        <f>SUM('10'!P5)</f>
        <v>121</v>
      </c>
      <c r="O12" s="46">
        <f>SUM('10'!P6)</f>
        <v>78</v>
      </c>
      <c r="P12" s="129">
        <f>SUM('10'!P21)</f>
        <v>74</v>
      </c>
      <c r="Q12" s="129">
        <f>SUM('10'!P23)</f>
        <v>69</v>
      </c>
      <c r="R12" s="46">
        <f>SUM('10'!P15)</f>
        <v>24</v>
      </c>
      <c r="T12" s="125">
        <v>1810</v>
      </c>
      <c r="U12" s="46">
        <f>SUM('10'!Q3)</f>
        <v>107</v>
      </c>
      <c r="V12" s="46">
        <f>SUM('10'!Q4)</f>
        <v>32</v>
      </c>
      <c r="W12" s="46">
        <f>SUM('10'!Q5)</f>
        <v>120</v>
      </c>
      <c r="X12" s="46">
        <f>SUM('10'!Q6)</f>
        <v>78</v>
      </c>
      <c r="Y12" s="129">
        <f>SUM('10'!Q21)</f>
        <v>69</v>
      </c>
      <c r="Z12" s="129">
        <f>SUM('10'!Q23)</f>
        <v>59</v>
      </c>
      <c r="AA12" s="46">
        <f>SUM('10'!Q15)</f>
        <v>23</v>
      </c>
      <c r="AC12" s="125">
        <v>1810</v>
      </c>
      <c r="AD12" s="127">
        <f t="shared" si="2"/>
        <v>2257721.71</v>
      </c>
      <c r="AE12" s="127">
        <f t="shared" si="2"/>
        <v>197581.7</v>
      </c>
      <c r="AF12" s="127">
        <f t="shared" si="2"/>
        <v>1725992.2</v>
      </c>
      <c r="AG12" s="127">
        <f t="shared" si="2"/>
        <v>1544881.82</v>
      </c>
      <c r="AH12" s="127">
        <f t="shared" si="2"/>
        <v>2070158.2199999997</v>
      </c>
      <c r="AI12" s="127">
        <f t="shared" si="2"/>
        <v>2091204.9699999997</v>
      </c>
      <c r="AJ12" s="127">
        <f t="shared" si="2"/>
        <v>275000</v>
      </c>
    </row>
    <row r="13" spans="1:36" x14ac:dyDescent="0.2">
      <c r="A13" s="45">
        <v>11</v>
      </c>
      <c r="B13" s="125">
        <v>1811</v>
      </c>
      <c r="C13" s="46">
        <f>SUM('11'!O3)</f>
        <v>329</v>
      </c>
      <c r="D13" s="46">
        <f>SUM('11'!O4)</f>
        <v>14</v>
      </c>
      <c r="E13" s="46">
        <f>SUM('11'!O5)</f>
        <v>349</v>
      </c>
      <c r="F13" s="46">
        <f>SUM('11'!O6)</f>
        <v>48</v>
      </c>
      <c r="G13" s="129">
        <f>SUM('11'!O21)</f>
        <v>49</v>
      </c>
      <c r="H13" s="129">
        <f>SUM('11'!O23)</f>
        <v>66</v>
      </c>
      <c r="I13" s="46">
        <f>SUM('11'!O15)</f>
        <v>21</v>
      </c>
      <c r="K13" s="125">
        <v>1811</v>
      </c>
      <c r="L13" s="46">
        <f>SUM('11'!P3)</f>
        <v>247</v>
      </c>
      <c r="M13" s="46">
        <f>SUM('11'!P4)</f>
        <v>14</v>
      </c>
      <c r="N13" s="46">
        <f>SUM('11'!P5)</f>
        <v>254</v>
      </c>
      <c r="O13" s="46">
        <f>SUM('11'!P6)</f>
        <v>45</v>
      </c>
      <c r="P13" s="129">
        <f>SUM('11'!P21)</f>
        <v>71</v>
      </c>
      <c r="Q13" s="129">
        <f>SUM('11'!P23)</f>
        <v>98</v>
      </c>
      <c r="R13" s="46">
        <f>SUM('11'!P15)</f>
        <v>12</v>
      </c>
      <c r="T13" s="125">
        <v>1811</v>
      </c>
      <c r="U13" s="46">
        <f>SUM('11'!Q3)</f>
        <v>194</v>
      </c>
      <c r="V13" s="46">
        <f>SUM('11'!Q4)</f>
        <v>8</v>
      </c>
      <c r="W13" s="46">
        <f>SUM('11'!Q5)</f>
        <v>204</v>
      </c>
      <c r="X13" s="46">
        <f>SUM('11'!Q6)</f>
        <v>45</v>
      </c>
      <c r="Y13" s="129">
        <f>SUM('11'!Q21)</f>
        <v>71</v>
      </c>
      <c r="Z13" s="129">
        <f>SUM('11'!Q23)</f>
        <v>84</v>
      </c>
      <c r="AA13" s="46">
        <f>SUM('11'!Q15)</f>
        <v>12</v>
      </c>
      <c r="AC13" s="125">
        <v>1811</v>
      </c>
      <c r="AD13" s="127">
        <f t="shared" si="2"/>
        <v>3419607.03</v>
      </c>
      <c r="AE13" s="127">
        <f t="shared" si="2"/>
        <v>92090.02</v>
      </c>
      <c r="AF13" s="127">
        <f t="shared" si="2"/>
        <v>2335909.75</v>
      </c>
      <c r="AG13" s="127">
        <f t="shared" si="2"/>
        <v>498058.8</v>
      </c>
      <c r="AH13" s="127">
        <f t="shared" si="2"/>
        <v>2341423.27</v>
      </c>
      <c r="AI13" s="127">
        <f t="shared" si="2"/>
        <v>2719598.49</v>
      </c>
      <c r="AJ13" s="127">
        <f t="shared" si="2"/>
        <v>168000</v>
      </c>
    </row>
    <row r="14" spans="1:36" x14ac:dyDescent="0.2">
      <c r="A14" s="45">
        <v>12</v>
      </c>
      <c r="B14" s="125">
        <v>1812</v>
      </c>
      <c r="C14" s="46">
        <f>SUM('12'!O3)</f>
        <v>296</v>
      </c>
      <c r="D14" s="46">
        <f>SUM('12'!O4)</f>
        <v>65</v>
      </c>
      <c r="E14" s="46">
        <f>SUM('12'!O5)</f>
        <v>315</v>
      </c>
      <c r="F14" s="46">
        <f>SUM('12'!O6)</f>
        <v>26</v>
      </c>
      <c r="G14" s="129">
        <f>SUM('12'!O21)</f>
        <v>85</v>
      </c>
      <c r="H14" s="129">
        <f>SUM('12'!O23)</f>
        <v>28</v>
      </c>
      <c r="I14" s="46">
        <f>SUM('12'!O15)</f>
        <v>12</v>
      </c>
      <c r="K14" s="125">
        <v>1812</v>
      </c>
      <c r="L14" s="46">
        <f>SUM('12'!P3)</f>
        <v>201</v>
      </c>
      <c r="M14" s="46">
        <f>SUM('12'!P4)</f>
        <v>60</v>
      </c>
      <c r="N14" s="46">
        <f>SUM('12'!P5)</f>
        <v>257</v>
      </c>
      <c r="O14" s="46">
        <f>SUM('12'!P6)</f>
        <v>26</v>
      </c>
      <c r="P14" s="129">
        <f>SUM('12'!P21)</f>
        <v>57</v>
      </c>
      <c r="Q14" s="129">
        <f>SUM('12'!P23)</f>
        <v>63</v>
      </c>
      <c r="R14" s="46">
        <f>SUM('12'!P15)</f>
        <v>24</v>
      </c>
      <c r="T14" s="125">
        <v>1812</v>
      </c>
      <c r="U14" s="46">
        <f>SUM('12'!Q3)</f>
        <v>135</v>
      </c>
      <c r="V14" s="46">
        <f>SUM('12'!Q4)</f>
        <v>24</v>
      </c>
      <c r="W14" s="46">
        <f>SUM('12'!Q5)</f>
        <v>226</v>
      </c>
      <c r="X14" s="46">
        <f>SUM('12'!Q6)</f>
        <v>18</v>
      </c>
      <c r="Y14" s="129">
        <f>SUM('12'!Q21)</f>
        <v>57</v>
      </c>
      <c r="Z14" s="129">
        <f>SUM('12'!Q23)</f>
        <v>56</v>
      </c>
      <c r="AA14" s="46">
        <f>SUM('12'!Q15)</f>
        <v>22</v>
      </c>
      <c r="AC14" s="125">
        <v>1812</v>
      </c>
      <c r="AD14" s="127">
        <f t="shared" si="2"/>
        <v>3098326.78</v>
      </c>
      <c r="AE14" s="127">
        <f t="shared" si="2"/>
        <v>501923.07</v>
      </c>
      <c r="AF14" s="127">
        <f t="shared" si="2"/>
        <v>2557889.2599999998</v>
      </c>
      <c r="AG14" s="127">
        <f t="shared" si="2"/>
        <v>411522.66</v>
      </c>
      <c r="AH14" s="127">
        <f t="shared" si="2"/>
        <v>3464637.5</v>
      </c>
      <c r="AI14" s="127">
        <f t="shared" si="2"/>
        <v>1174900</v>
      </c>
      <c r="AJ14" s="127">
        <f t="shared" si="2"/>
        <v>120000</v>
      </c>
    </row>
    <row r="15" spans="1:36" x14ac:dyDescent="0.2">
      <c r="A15" s="45">
        <v>13</v>
      </c>
      <c r="B15" s="125">
        <v>1814</v>
      </c>
      <c r="C15" s="46">
        <f>SUM('14'!O3)</f>
        <v>434</v>
      </c>
      <c r="D15" s="46">
        <f>SUM('14'!O4)</f>
        <v>41</v>
      </c>
      <c r="E15" s="46">
        <f>SUM('14'!O5)</f>
        <v>348</v>
      </c>
      <c r="F15" s="46">
        <f>SUM('14'!O6)</f>
        <v>77</v>
      </c>
      <c r="G15" s="129">
        <f>SUM('14'!O21)</f>
        <v>43</v>
      </c>
      <c r="H15" s="129">
        <f>SUM('14'!O23)</f>
        <v>43</v>
      </c>
      <c r="I15" s="46">
        <f>SUM('14'!O15)</f>
        <v>20</v>
      </c>
      <c r="K15" s="125">
        <v>1814</v>
      </c>
      <c r="L15" s="46">
        <f>SUM('14'!P3)</f>
        <v>320</v>
      </c>
      <c r="M15" s="46">
        <f>SUM('14'!P4)</f>
        <v>41</v>
      </c>
      <c r="N15" s="46">
        <f>SUM('14'!P5)</f>
        <v>191</v>
      </c>
      <c r="O15" s="46">
        <f>SUM('14'!P6)</f>
        <v>77</v>
      </c>
      <c r="P15" s="129">
        <f>SUM('14'!P21)</f>
        <v>61</v>
      </c>
      <c r="Q15" s="129">
        <f>SUM('14'!P23)</f>
        <v>41</v>
      </c>
      <c r="R15" s="46">
        <f>SUM('14'!P15)</f>
        <v>27</v>
      </c>
      <c r="T15" s="125">
        <v>1814</v>
      </c>
      <c r="U15" s="46">
        <f>SUM('14'!Q3)</f>
        <v>248</v>
      </c>
      <c r="V15" s="46">
        <f>SUM('14'!Q4)</f>
        <v>37</v>
      </c>
      <c r="W15" s="46">
        <f>SUM('14'!Q5)</f>
        <v>160</v>
      </c>
      <c r="X15" s="46">
        <f>SUM('14'!Q6)</f>
        <v>63</v>
      </c>
      <c r="Y15" s="129">
        <f>SUM('14'!Q21)</f>
        <v>57</v>
      </c>
      <c r="Z15" s="129">
        <f>SUM('14'!Q23)</f>
        <v>35</v>
      </c>
      <c r="AA15" s="46">
        <f>SUM('14'!Q15)</f>
        <v>24</v>
      </c>
      <c r="AC15" s="125">
        <v>1814</v>
      </c>
      <c r="AD15" s="127">
        <f t="shared" si="2"/>
        <v>5795371.6100000003</v>
      </c>
      <c r="AE15" s="127">
        <f t="shared" si="2"/>
        <v>357857.98</v>
      </c>
      <c r="AF15" s="127">
        <f t="shared" si="2"/>
        <v>2975623.06</v>
      </c>
      <c r="AG15" s="127">
        <f t="shared" si="2"/>
        <v>1537542.48</v>
      </c>
      <c r="AH15" s="127">
        <f t="shared" si="2"/>
        <v>1791486.04</v>
      </c>
      <c r="AI15" s="127">
        <f t="shared" si="2"/>
        <v>1824271.92</v>
      </c>
      <c r="AJ15" s="127">
        <f t="shared" si="2"/>
        <v>280000</v>
      </c>
    </row>
    <row r="16" spans="1:36" x14ac:dyDescent="0.2">
      <c r="A16" s="45">
        <v>14</v>
      </c>
      <c r="B16" s="125">
        <v>1815</v>
      </c>
      <c r="C16" s="46">
        <f>SUM('15'!O3)</f>
        <v>332</v>
      </c>
      <c r="D16" s="46">
        <f>SUM('15'!O4)</f>
        <v>29</v>
      </c>
      <c r="E16" s="46">
        <f>SUM('15'!O5)</f>
        <v>172</v>
      </c>
      <c r="F16" s="46">
        <f>SUM('15'!O6)</f>
        <v>73</v>
      </c>
      <c r="G16" s="129">
        <f>SUM('15'!O21)</f>
        <v>50</v>
      </c>
      <c r="H16" s="129">
        <f>SUM('15'!O23)</f>
        <v>29</v>
      </c>
      <c r="I16" s="46">
        <f>SUM('15'!O15)</f>
        <v>8</v>
      </c>
      <c r="K16" s="125">
        <v>1815</v>
      </c>
      <c r="L16" s="46">
        <f>SUM('15'!P3)</f>
        <v>218</v>
      </c>
      <c r="M16" s="46">
        <f>SUM('15'!P4)</f>
        <v>24</v>
      </c>
      <c r="N16" s="46">
        <f>SUM('15'!P5)</f>
        <v>106</v>
      </c>
      <c r="O16" s="46">
        <f>SUM('15'!P6)</f>
        <v>53</v>
      </c>
      <c r="P16" s="129">
        <f>SUM('15'!P21)</f>
        <v>66</v>
      </c>
      <c r="Q16" s="129">
        <f>SUM('15'!P23)</f>
        <v>97</v>
      </c>
      <c r="R16" s="46">
        <f>SUM('15'!P15)</f>
        <v>13</v>
      </c>
      <c r="T16" s="125">
        <v>1815</v>
      </c>
      <c r="U16" s="46">
        <f>SUM('15'!Q3)</f>
        <v>174</v>
      </c>
      <c r="V16" s="46">
        <f>SUM('15'!Q4)</f>
        <v>19</v>
      </c>
      <c r="W16" s="46">
        <f>SUM('15'!Q5)</f>
        <v>85</v>
      </c>
      <c r="X16" s="46">
        <f>SUM('15'!Q6)</f>
        <v>50</v>
      </c>
      <c r="Y16" s="129">
        <f>SUM('15'!Q21)</f>
        <v>64</v>
      </c>
      <c r="Z16" s="129">
        <f>SUM('15'!Q23)</f>
        <v>77</v>
      </c>
      <c r="AA16" s="46">
        <f>SUM('15'!Q15)</f>
        <v>12</v>
      </c>
      <c r="AC16" s="125">
        <v>1815</v>
      </c>
      <c r="AD16" s="127">
        <f t="shared" si="2"/>
        <v>3280809.98</v>
      </c>
      <c r="AE16" s="127">
        <f t="shared" si="2"/>
        <v>287290.07</v>
      </c>
      <c r="AF16" s="127">
        <f t="shared" si="2"/>
        <v>1315637.8600000001</v>
      </c>
      <c r="AG16" s="127">
        <f t="shared" si="2"/>
        <v>1283727.1000000001</v>
      </c>
      <c r="AH16" s="127">
        <f t="shared" si="2"/>
        <v>2090184.11</v>
      </c>
      <c r="AI16" s="127">
        <f t="shared" si="2"/>
        <v>1246578</v>
      </c>
      <c r="AJ16" s="127">
        <f t="shared" si="2"/>
        <v>80000</v>
      </c>
    </row>
    <row r="17" spans="1:37" x14ac:dyDescent="0.2">
      <c r="A17" s="45">
        <v>15</v>
      </c>
      <c r="B17" s="252" t="s">
        <v>253</v>
      </c>
      <c r="C17" s="46">
        <f>SUM('63'!O3)</f>
        <v>465</v>
      </c>
      <c r="D17" s="46">
        <f>SUM('63'!O4)</f>
        <v>551</v>
      </c>
      <c r="E17" s="46">
        <f>SUM('63'!O5)</f>
        <v>161</v>
      </c>
      <c r="F17" s="46">
        <f>SUM('63'!O6)</f>
        <v>133</v>
      </c>
      <c r="G17" s="129">
        <f>SUM('63'!O21)</f>
        <v>317</v>
      </c>
      <c r="H17" s="129">
        <f>SUM('63'!O23)</f>
        <v>200</v>
      </c>
      <c r="I17" s="46">
        <f>SUM('63'!O15)</f>
        <v>61</v>
      </c>
      <c r="K17" s="252" t="s">
        <v>253</v>
      </c>
      <c r="L17" s="46">
        <f>SUM('63'!P3)</f>
        <v>371</v>
      </c>
      <c r="M17" s="46">
        <f>SUM('63'!P4)</f>
        <v>552</v>
      </c>
      <c r="N17" s="46">
        <f>SUM('63'!P5)</f>
        <v>146</v>
      </c>
      <c r="O17" s="46">
        <f>SUM('63'!P6)</f>
        <v>104</v>
      </c>
      <c r="P17" s="129">
        <f>SUM('63'!P21)</f>
        <v>333</v>
      </c>
      <c r="Q17" s="129">
        <f>SUM('63'!P23)</f>
        <v>237</v>
      </c>
      <c r="R17" s="46">
        <f>SUM('63'!P15)</f>
        <v>74</v>
      </c>
      <c r="T17" s="252" t="s">
        <v>253</v>
      </c>
      <c r="U17" s="46">
        <f>SUM('63'!Q3)</f>
        <v>295</v>
      </c>
      <c r="V17" s="46">
        <f>SUM('63'!Q4)</f>
        <v>260</v>
      </c>
      <c r="W17" s="46">
        <f>SUM('63'!Q5)</f>
        <v>133</v>
      </c>
      <c r="X17" s="46">
        <f>SUM('63'!Q6)</f>
        <v>103</v>
      </c>
      <c r="Y17" s="129">
        <f>SUM('63'!Q21)</f>
        <v>328</v>
      </c>
      <c r="Z17" s="129">
        <f>SUM('63'!Q23)</f>
        <v>211</v>
      </c>
      <c r="AA17" s="46">
        <f>SUM('63'!Q15)</f>
        <v>71</v>
      </c>
      <c r="AC17" s="252" t="s">
        <v>253</v>
      </c>
      <c r="AD17" s="127">
        <f t="shared" ref="AD17:AJ24" si="3">SUM(C43)*1000</f>
        <v>4536078.1399999997</v>
      </c>
      <c r="AE17" s="127">
        <f t="shared" si="3"/>
        <v>1321810.29</v>
      </c>
      <c r="AF17" s="127">
        <f t="shared" si="3"/>
        <v>1476406.36</v>
      </c>
      <c r="AG17" s="127">
        <f t="shared" si="3"/>
        <v>1981656.02</v>
      </c>
      <c r="AH17" s="127">
        <f t="shared" si="3"/>
        <v>12175975.59</v>
      </c>
      <c r="AI17" s="127">
        <f t="shared" si="3"/>
        <v>8169919.75</v>
      </c>
      <c r="AJ17" s="127">
        <f t="shared" si="3"/>
        <v>716133.33</v>
      </c>
    </row>
    <row r="18" spans="1:37" x14ac:dyDescent="0.2">
      <c r="A18" s="45">
        <v>16</v>
      </c>
      <c r="B18" s="125">
        <v>1817</v>
      </c>
      <c r="C18" s="46">
        <f>SUM('17'!O3)</f>
        <v>207</v>
      </c>
      <c r="D18" s="46">
        <f>SUM('17'!O4)</f>
        <v>105</v>
      </c>
      <c r="E18" s="46">
        <f>SUM('17'!O5)</f>
        <v>234</v>
      </c>
      <c r="F18" s="46">
        <f>SUM('17'!O6)</f>
        <v>18</v>
      </c>
      <c r="G18" s="129">
        <f>SUM('17'!O21)</f>
        <v>123</v>
      </c>
      <c r="H18" s="129">
        <f>SUM('17'!O23)</f>
        <v>34</v>
      </c>
      <c r="I18" s="46">
        <f>SUM('17'!O15)</f>
        <v>68</v>
      </c>
      <c r="K18" s="125">
        <v>1817</v>
      </c>
      <c r="L18" s="46">
        <f>SUM('17'!P3)</f>
        <v>113</v>
      </c>
      <c r="M18" s="46">
        <f>SUM('17'!P4)</f>
        <v>97</v>
      </c>
      <c r="N18" s="46">
        <f>SUM('17'!P5)</f>
        <v>152</v>
      </c>
      <c r="O18" s="46">
        <f>SUM('17'!P6)</f>
        <v>18</v>
      </c>
      <c r="P18" s="129">
        <f>SUM('17'!P21)</f>
        <v>110</v>
      </c>
      <c r="Q18" s="129">
        <f>SUM('17'!P23)</f>
        <v>77</v>
      </c>
      <c r="R18" s="46">
        <f>SUM('17'!P15)</f>
        <v>54</v>
      </c>
      <c r="T18" s="125">
        <v>1817</v>
      </c>
      <c r="U18" s="46">
        <f>SUM('17'!Q3)</f>
        <v>90</v>
      </c>
      <c r="V18" s="46">
        <f>SUM('17'!Q4)</f>
        <v>60</v>
      </c>
      <c r="W18" s="46">
        <f>SUM('17'!Q5)</f>
        <v>142</v>
      </c>
      <c r="X18" s="46">
        <f>SUM('17'!Q6)</f>
        <v>16</v>
      </c>
      <c r="Y18" s="129">
        <f>SUM('17'!Q21)</f>
        <v>107</v>
      </c>
      <c r="Z18" s="129">
        <f>SUM('17'!Q23)</f>
        <v>71</v>
      </c>
      <c r="AA18" s="46">
        <f>SUM('17'!Q15)</f>
        <v>51</v>
      </c>
      <c r="AC18" s="125">
        <v>1817</v>
      </c>
      <c r="AD18" s="127">
        <f t="shared" si="3"/>
        <v>1938320.59</v>
      </c>
      <c r="AE18" s="127">
        <f t="shared" si="3"/>
        <v>621042.1</v>
      </c>
      <c r="AF18" s="127">
        <f t="shared" si="3"/>
        <v>1670049.52</v>
      </c>
      <c r="AG18" s="127">
        <f t="shared" si="3"/>
        <v>257230.61000000002</v>
      </c>
      <c r="AH18" s="127">
        <f t="shared" si="3"/>
        <v>4085089.29</v>
      </c>
      <c r="AI18" s="127">
        <f t="shared" si="3"/>
        <v>1199518.1499999999</v>
      </c>
      <c r="AJ18" s="127">
        <f t="shared" si="3"/>
        <v>743700</v>
      </c>
    </row>
    <row r="19" spans="1:37" x14ac:dyDescent="0.2">
      <c r="A19" s="45">
        <v>17</v>
      </c>
      <c r="B19" s="125">
        <v>1818</v>
      </c>
      <c r="C19" s="46">
        <f>SUM('18'!O3)</f>
        <v>251</v>
      </c>
      <c r="D19" s="46">
        <f>SUM('18'!O4)</f>
        <v>42</v>
      </c>
      <c r="E19" s="46">
        <f>SUM('18'!O5)</f>
        <v>130</v>
      </c>
      <c r="F19" s="46">
        <f>SUM('18'!O6)</f>
        <v>22</v>
      </c>
      <c r="G19" s="129">
        <f>SUM('18'!O21)</f>
        <v>50</v>
      </c>
      <c r="H19" s="129">
        <f>SUM('18'!O23)</f>
        <v>19</v>
      </c>
      <c r="I19" s="46">
        <f>SUM('18'!O15)</f>
        <v>14</v>
      </c>
      <c r="K19" s="125">
        <v>1818</v>
      </c>
      <c r="L19" s="46">
        <f>SUM('18'!P3)</f>
        <v>194</v>
      </c>
      <c r="M19" s="46">
        <f>SUM('18'!P4)</f>
        <v>37</v>
      </c>
      <c r="N19" s="46">
        <f>SUM('18'!P5)</f>
        <v>96</v>
      </c>
      <c r="O19" s="46">
        <f>SUM('18'!P6)</f>
        <v>22</v>
      </c>
      <c r="P19" s="129">
        <f>SUM('18'!P21)</f>
        <v>61</v>
      </c>
      <c r="Q19" s="129">
        <f>SUM('18'!P23)</f>
        <v>49</v>
      </c>
      <c r="R19" s="46">
        <f>SUM('18'!P15)</f>
        <v>31</v>
      </c>
      <c r="T19" s="125">
        <v>1818</v>
      </c>
      <c r="U19" s="46">
        <f>SUM('18'!Q3)</f>
        <v>165</v>
      </c>
      <c r="V19" s="46">
        <f>SUM('18'!Q4)</f>
        <v>21</v>
      </c>
      <c r="W19" s="46">
        <f>SUM('18'!Q5)</f>
        <v>96</v>
      </c>
      <c r="X19" s="46">
        <f>SUM('18'!Q6)</f>
        <v>22</v>
      </c>
      <c r="Y19" s="129">
        <f>SUM('18'!Q21)</f>
        <v>59</v>
      </c>
      <c r="Z19" s="129">
        <f>SUM('18'!Q23)</f>
        <v>45</v>
      </c>
      <c r="AA19" s="46">
        <f>SUM('18'!Q15)</f>
        <v>27</v>
      </c>
      <c r="AC19" s="125">
        <v>1818</v>
      </c>
      <c r="AD19" s="127">
        <f t="shared" si="3"/>
        <v>2940013.79</v>
      </c>
      <c r="AE19" s="127">
        <f t="shared" si="3"/>
        <v>256487.29000000004</v>
      </c>
      <c r="AF19" s="127">
        <f t="shared" si="3"/>
        <v>1174248.07</v>
      </c>
      <c r="AG19" s="127">
        <f t="shared" si="3"/>
        <v>525559.03</v>
      </c>
      <c r="AH19" s="127">
        <f t="shared" si="3"/>
        <v>1950423.8</v>
      </c>
      <c r="AI19" s="127">
        <f t="shared" si="3"/>
        <v>846855.97</v>
      </c>
      <c r="AJ19" s="127">
        <f t="shared" si="3"/>
        <v>139500</v>
      </c>
    </row>
    <row r="20" spans="1:37" x14ac:dyDescent="0.2">
      <c r="A20" s="45">
        <v>18</v>
      </c>
      <c r="B20" s="125">
        <v>1819</v>
      </c>
      <c r="C20" s="46">
        <f>SUM('19'!O3)</f>
        <v>341</v>
      </c>
      <c r="D20" s="46">
        <f>SUM('19'!O4)</f>
        <v>165</v>
      </c>
      <c r="E20" s="46">
        <f>SUM('19'!O5)</f>
        <v>224</v>
      </c>
      <c r="F20" s="46">
        <f>SUM('19'!O6)</f>
        <v>180</v>
      </c>
      <c r="G20" s="129">
        <f>SUM('19'!O21)</f>
        <v>43</v>
      </c>
      <c r="H20" s="129">
        <f>SUM('19'!O23)</f>
        <v>49</v>
      </c>
      <c r="I20" s="46">
        <f>SUM('19'!O15)</f>
        <v>21</v>
      </c>
      <c r="K20" s="125">
        <v>1819</v>
      </c>
      <c r="L20" s="46">
        <f>SUM('19'!P3)</f>
        <v>284</v>
      </c>
      <c r="M20" s="46">
        <f>SUM('19'!P4)</f>
        <v>69</v>
      </c>
      <c r="N20" s="46">
        <f>SUM('19'!P5)</f>
        <v>135</v>
      </c>
      <c r="O20" s="46">
        <f>SUM('19'!P6)</f>
        <v>117</v>
      </c>
      <c r="P20" s="129">
        <f>SUM('19'!P21)</f>
        <v>48</v>
      </c>
      <c r="Q20" s="129">
        <f>SUM('19'!P23)</f>
        <v>75</v>
      </c>
      <c r="R20" s="46">
        <f>SUM('19'!P15)</f>
        <v>18</v>
      </c>
      <c r="T20" s="125">
        <v>1819</v>
      </c>
      <c r="U20" s="46">
        <f>SUM('19'!Q3)</f>
        <v>241</v>
      </c>
      <c r="V20" s="46">
        <f>SUM('19'!Q4)</f>
        <v>44</v>
      </c>
      <c r="W20" s="46">
        <f>SUM('19'!Q5)</f>
        <v>135</v>
      </c>
      <c r="X20" s="46">
        <f>SUM('19'!Q6)</f>
        <v>115</v>
      </c>
      <c r="Y20" s="129">
        <f>SUM('19'!Q21)</f>
        <v>48</v>
      </c>
      <c r="Z20" s="129">
        <f>SUM('19'!Q23)</f>
        <v>71</v>
      </c>
      <c r="AA20" s="46">
        <f>SUM('19'!Q15)</f>
        <v>16</v>
      </c>
      <c r="AC20" s="125">
        <v>1819</v>
      </c>
      <c r="AD20" s="127">
        <f t="shared" si="3"/>
        <v>3688616.29</v>
      </c>
      <c r="AE20" s="127">
        <f t="shared" si="3"/>
        <v>594782.68999999994</v>
      </c>
      <c r="AF20" s="127">
        <f t="shared" si="3"/>
        <v>2334319.83</v>
      </c>
      <c r="AG20" s="127">
        <f t="shared" si="3"/>
        <v>3049260.01</v>
      </c>
      <c r="AH20" s="127">
        <f t="shared" si="3"/>
        <v>1684693</v>
      </c>
      <c r="AI20" s="127">
        <f t="shared" si="3"/>
        <v>2237826.6</v>
      </c>
      <c r="AJ20" s="127">
        <f t="shared" si="3"/>
        <v>252000</v>
      </c>
    </row>
    <row r="21" spans="1:37" x14ac:dyDescent="0.2">
      <c r="A21" s="45">
        <v>19</v>
      </c>
      <c r="B21" s="252" t="s">
        <v>252</v>
      </c>
      <c r="C21" s="46">
        <f>SUM('20'!O3)</f>
        <v>216</v>
      </c>
      <c r="D21" s="46">
        <f>SUM('20'!O4)</f>
        <v>20</v>
      </c>
      <c r="E21" s="46">
        <f>SUM('20'!O5)</f>
        <v>112</v>
      </c>
      <c r="F21" s="46">
        <f>SUM('20'!O6)</f>
        <v>185</v>
      </c>
      <c r="G21" s="129">
        <f>SUM('20'!O21)</f>
        <v>24</v>
      </c>
      <c r="H21" s="129">
        <f>SUM('20'!O23)</f>
        <v>17</v>
      </c>
      <c r="I21" s="46">
        <f>SUM('20'!O15)</f>
        <v>37</v>
      </c>
      <c r="K21" s="252" t="s">
        <v>252</v>
      </c>
      <c r="L21" s="46">
        <f>SUM('20'!P3)</f>
        <v>187</v>
      </c>
      <c r="M21" s="46">
        <f>SUM('20'!P4)</f>
        <v>18</v>
      </c>
      <c r="N21" s="46">
        <f>SUM('20'!P5)</f>
        <v>93</v>
      </c>
      <c r="O21" s="46">
        <f>SUM('20'!P6)</f>
        <v>159</v>
      </c>
      <c r="P21" s="129">
        <f>SUM('20'!P21)</f>
        <v>41</v>
      </c>
      <c r="Q21" s="129">
        <f>SUM('20'!P23)</f>
        <v>28</v>
      </c>
      <c r="R21" s="46">
        <f>SUM('20'!P15)</f>
        <v>38</v>
      </c>
      <c r="T21" s="252" t="s">
        <v>252</v>
      </c>
      <c r="U21" s="46">
        <f>SUM('20'!Q3)</f>
        <v>158</v>
      </c>
      <c r="V21" s="46">
        <f>SUM('20'!Q4)</f>
        <v>8</v>
      </c>
      <c r="W21" s="46">
        <f>SUM('20'!Q5)</f>
        <v>91</v>
      </c>
      <c r="X21" s="46">
        <f>SUM('20'!Q6)</f>
        <v>158</v>
      </c>
      <c r="Y21" s="129">
        <f>SUM('20'!Q21)</f>
        <v>40</v>
      </c>
      <c r="Z21" s="129">
        <f>SUM('20'!Q23)</f>
        <v>28</v>
      </c>
      <c r="AA21" s="46">
        <f>SUM('20'!Q15)</f>
        <v>38</v>
      </c>
      <c r="AC21" s="252" t="s">
        <v>252</v>
      </c>
      <c r="AD21" s="127">
        <f t="shared" si="3"/>
        <v>2376245.0299999998</v>
      </c>
      <c r="AE21" s="127">
        <f t="shared" si="3"/>
        <v>153905.79</v>
      </c>
      <c r="AF21" s="127">
        <f t="shared" si="3"/>
        <v>948653.85</v>
      </c>
      <c r="AG21" s="127">
        <f t="shared" si="3"/>
        <v>3475468.27</v>
      </c>
      <c r="AH21" s="127">
        <f t="shared" si="3"/>
        <v>972468</v>
      </c>
      <c r="AI21" s="127">
        <f t="shared" si="3"/>
        <v>781888.61</v>
      </c>
      <c r="AJ21" s="127">
        <f t="shared" si="3"/>
        <v>376000</v>
      </c>
    </row>
    <row r="22" spans="1:37" x14ac:dyDescent="0.2">
      <c r="A22" s="45">
        <v>20</v>
      </c>
      <c r="B22" s="125">
        <v>1821</v>
      </c>
      <c r="C22" s="46">
        <f>SUM('21'!O3)</f>
        <v>134</v>
      </c>
      <c r="D22" s="46">
        <f>SUM('21'!O4)</f>
        <v>16</v>
      </c>
      <c r="E22" s="46">
        <f>SUM('21'!O5)</f>
        <v>61</v>
      </c>
      <c r="F22" s="46">
        <f>SUM('21'!O6)</f>
        <v>49</v>
      </c>
      <c r="G22" s="129">
        <f>SUM('21'!O21)</f>
        <v>50</v>
      </c>
      <c r="H22" s="129">
        <f>SUM('21'!O23)</f>
        <v>27</v>
      </c>
      <c r="I22" s="46">
        <f>SUM('21'!O15)</f>
        <v>47</v>
      </c>
      <c r="K22" s="125">
        <v>1821</v>
      </c>
      <c r="L22" s="46">
        <f>SUM('21'!P3)</f>
        <v>104</v>
      </c>
      <c r="M22" s="46">
        <f>SUM('21'!P4)</f>
        <v>13</v>
      </c>
      <c r="N22" s="46">
        <f>SUM('21'!P5)</f>
        <v>39</v>
      </c>
      <c r="O22" s="46">
        <f>SUM('21'!P6)</f>
        <v>33</v>
      </c>
      <c r="P22" s="129">
        <f>SUM('21'!P21)</f>
        <v>64</v>
      </c>
      <c r="Q22" s="129">
        <f>SUM('21'!P23)</f>
        <v>31</v>
      </c>
      <c r="R22" s="46">
        <f>SUM('21'!P15)</f>
        <v>44</v>
      </c>
      <c r="T22" s="125">
        <v>1821</v>
      </c>
      <c r="U22" s="46">
        <f>SUM('21'!Q3)</f>
        <v>92</v>
      </c>
      <c r="V22" s="46">
        <f>SUM('21'!Q4)</f>
        <v>8</v>
      </c>
      <c r="W22" s="46">
        <f>SUM('21'!Q5)</f>
        <v>35</v>
      </c>
      <c r="X22" s="46">
        <f>SUM('21'!Q6)</f>
        <v>32</v>
      </c>
      <c r="Y22" s="129">
        <f>SUM('21'!Q21)</f>
        <v>59</v>
      </c>
      <c r="Z22" s="129">
        <f>SUM('21'!Q23)</f>
        <v>31</v>
      </c>
      <c r="AA22" s="46">
        <f>SUM('21'!Q15)</f>
        <v>34</v>
      </c>
      <c r="AC22" s="125">
        <v>1821</v>
      </c>
      <c r="AD22" s="127">
        <f t="shared" si="3"/>
        <v>1728852</v>
      </c>
      <c r="AE22" s="127">
        <f t="shared" si="3"/>
        <v>140020.38</v>
      </c>
      <c r="AF22" s="127">
        <f t="shared" si="3"/>
        <v>538034.99</v>
      </c>
      <c r="AG22" s="127">
        <f t="shared" si="3"/>
        <v>1021107.02</v>
      </c>
      <c r="AH22" s="127">
        <f t="shared" si="3"/>
        <v>1977365.01</v>
      </c>
      <c r="AI22" s="127">
        <f t="shared" si="3"/>
        <v>1075256.04</v>
      </c>
      <c r="AJ22" s="127">
        <f t="shared" si="3"/>
        <v>658000</v>
      </c>
    </row>
    <row r="23" spans="1:37" x14ac:dyDescent="0.2">
      <c r="A23" s="45">
        <v>21</v>
      </c>
      <c r="B23" s="252" t="s">
        <v>254</v>
      </c>
      <c r="C23" s="46">
        <f>SUM('62'!O3)</f>
        <v>206</v>
      </c>
      <c r="D23" s="46">
        <f>SUM('62'!O4)</f>
        <v>34</v>
      </c>
      <c r="E23" s="46">
        <f>SUM('62'!O5)</f>
        <v>414</v>
      </c>
      <c r="F23" s="46">
        <f>SUM('62'!O6)</f>
        <v>95</v>
      </c>
      <c r="G23" s="129">
        <f>SUM('62'!O21)</f>
        <v>123</v>
      </c>
      <c r="H23" s="129">
        <f>SUM('62'!O23)</f>
        <v>88</v>
      </c>
      <c r="I23" s="46">
        <f>SUM('62'!O15)</f>
        <v>102</v>
      </c>
      <c r="K23" s="252" t="s">
        <v>254</v>
      </c>
      <c r="L23" s="46">
        <f>SUM('62'!P3)</f>
        <v>135</v>
      </c>
      <c r="M23" s="46">
        <f>SUM('62'!P4)</f>
        <v>29</v>
      </c>
      <c r="N23" s="46">
        <f>SUM('62'!P5)</f>
        <v>270</v>
      </c>
      <c r="O23" s="46">
        <f>SUM('62'!P6)</f>
        <v>72</v>
      </c>
      <c r="P23" s="129">
        <f>SUM('62'!P21)</f>
        <v>152</v>
      </c>
      <c r="Q23" s="129">
        <f>SUM('62'!P23)</f>
        <v>89</v>
      </c>
      <c r="R23" s="46">
        <f>SUM('62'!P15)</f>
        <v>187</v>
      </c>
      <c r="T23" s="252" t="s">
        <v>254</v>
      </c>
      <c r="U23" s="46">
        <f>SUM('62'!Q3)</f>
        <v>121</v>
      </c>
      <c r="V23" s="46">
        <f>SUM('62'!Q4)</f>
        <v>19</v>
      </c>
      <c r="W23" s="46">
        <f>SUM('62'!Q5)</f>
        <v>267</v>
      </c>
      <c r="X23" s="46">
        <f>SUM('62'!Q6)</f>
        <v>68</v>
      </c>
      <c r="Y23" s="129">
        <f>SUM('62'!Q21)</f>
        <v>143</v>
      </c>
      <c r="Z23" s="129">
        <f>SUM('62'!Q23)</f>
        <v>82</v>
      </c>
      <c r="AA23" s="46">
        <f>SUM('62'!Q15)</f>
        <v>106</v>
      </c>
      <c r="AC23" s="252" t="s">
        <v>254</v>
      </c>
      <c r="AD23" s="127">
        <f t="shared" si="3"/>
        <v>2513726.5</v>
      </c>
      <c r="AE23" s="127">
        <f t="shared" si="3"/>
        <v>303702.8</v>
      </c>
      <c r="AF23" s="127">
        <f t="shared" si="3"/>
        <v>4101638.9</v>
      </c>
      <c r="AG23" s="127">
        <f t="shared" si="3"/>
        <v>1947929.33</v>
      </c>
      <c r="AH23" s="127">
        <f t="shared" si="3"/>
        <v>4308420.72</v>
      </c>
      <c r="AI23" s="127">
        <f t="shared" si="3"/>
        <v>3666664.85</v>
      </c>
      <c r="AJ23" s="127">
        <f t="shared" si="3"/>
        <v>1224000</v>
      </c>
    </row>
    <row r="24" spans="1:37" ht="14.25" customHeight="1" x14ac:dyDescent="0.2">
      <c r="B24" s="249" t="s">
        <v>128</v>
      </c>
      <c r="C24" s="254">
        <f t="shared" ref="C24:H24" si="4">SUM(C3:C23)</f>
        <v>5942</v>
      </c>
      <c r="D24" s="254">
        <f t="shared" si="4"/>
        <v>1485</v>
      </c>
      <c r="E24" s="254">
        <f t="shared" si="4"/>
        <v>4125</v>
      </c>
      <c r="F24" s="254">
        <f t="shared" si="4"/>
        <v>1726</v>
      </c>
      <c r="G24" s="254">
        <f t="shared" si="4"/>
        <v>1700</v>
      </c>
      <c r="H24" s="254">
        <f t="shared" si="4"/>
        <v>1118</v>
      </c>
      <c r="I24" s="254">
        <f>SUM(I3:I23)</f>
        <v>840</v>
      </c>
      <c r="J24" s="200"/>
      <c r="K24" s="249" t="s">
        <v>128</v>
      </c>
      <c r="L24" s="254">
        <f t="shared" ref="L24:R24" si="5">SUM(L3:L23)</f>
        <v>4427</v>
      </c>
      <c r="M24" s="254">
        <f t="shared" si="5"/>
        <v>1288</v>
      </c>
      <c r="N24" s="254">
        <f t="shared" si="5"/>
        <v>2924</v>
      </c>
      <c r="O24" s="254">
        <f t="shared" si="5"/>
        <v>1399</v>
      </c>
      <c r="P24" s="254">
        <f>SUM(P3:P23)</f>
        <v>1810</v>
      </c>
      <c r="Q24" s="254">
        <f t="shared" si="5"/>
        <v>1628</v>
      </c>
      <c r="R24" s="254">
        <f t="shared" si="5"/>
        <v>893</v>
      </c>
      <c r="S24" s="200"/>
      <c r="T24" s="249" t="s">
        <v>128</v>
      </c>
      <c r="U24" s="254">
        <f t="shared" ref="U24:Z24" si="6">SUM(U3:U23)</f>
        <v>3650</v>
      </c>
      <c r="V24" s="254">
        <f t="shared" si="6"/>
        <v>660</v>
      </c>
      <c r="W24" s="254">
        <f t="shared" si="6"/>
        <v>2727</v>
      </c>
      <c r="X24" s="254">
        <f t="shared" si="6"/>
        <v>1351</v>
      </c>
      <c r="Y24" s="254">
        <f t="shared" si="6"/>
        <v>1762</v>
      </c>
      <c r="Z24" s="254">
        <f t="shared" si="6"/>
        <v>1463</v>
      </c>
      <c r="AA24" s="254">
        <f>SUM(AA3:AA23)</f>
        <v>739</v>
      </c>
      <c r="AC24" s="302" t="s">
        <v>128</v>
      </c>
      <c r="AD24" s="303">
        <f t="shared" si="3"/>
        <v>67134324.789999992</v>
      </c>
      <c r="AE24" s="303">
        <f t="shared" si="3"/>
        <v>6665214.9499999993</v>
      </c>
      <c r="AF24" s="303">
        <f t="shared" si="3"/>
        <v>33670706.75</v>
      </c>
      <c r="AG24" s="303">
        <f t="shared" si="3"/>
        <v>29865365.469999999</v>
      </c>
      <c r="AH24" s="303">
        <f t="shared" si="3"/>
        <v>60856502.309999995</v>
      </c>
      <c r="AI24" s="303">
        <f t="shared" si="3"/>
        <v>44378208.389999993</v>
      </c>
      <c r="AJ24" s="303">
        <f t="shared" si="3"/>
        <v>9519667.5600000005</v>
      </c>
    </row>
    <row r="25" spans="1:37" x14ac:dyDescent="0.2">
      <c r="B25" s="44" t="s">
        <v>452</v>
      </c>
      <c r="K25" s="316" t="s">
        <v>325</v>
      </c>
      <c r="T25" s="44" t="s">
        <v>453</v>
      </c>
    </row>
    <row r="26" spans="1:37" x14ac:dyDescent="0.2">
      <c r="B26" s="550">
        <v>2025</v>
      </c>
      <c r="C26" s="249" t="s">
        <v>127</v>
      </c>
      <c r="D26" s="249" t="s">
        <v>126</v>
      </c>
      <c r="E26" s="249" t="s">
        <v>129</v>
      </c>
      <c r="F26" s="249" t="s">
        <v>130</v>
      </c>
      <c r="G26" s="314" t="s">
        <v>132</v>
      </c>
      <c r="H26" s="249" t="s">
        <v>131</v>
      </c>
      <c r="I26" s="249" t="s">
        <v>274</v>
      </c>
      <c r="K26" s="550">
        <v>2025</v>
      </c>
      <c r="L26" s="249" t="s">
        <v>127</v>
      </c>
      <c r="M26" s="249" t="s">
        <v>126</v>
      </c>
      <c r="N26" s="249" t="s">
        <v>129</v>
      </c>
      <c r="O26" s="249" t="s">
        <v>130</v>
      </c>
      <c r="P26" s="314" t="s">
        <v>132</v>
      </c>
      <c r="Q26" s="249" t="s">
        <v>131</v>
      </c>
      <c r="R26" s="249" t="s">
        <v>274</v>
      </c>
      <c r="T26" s="550">
        <v>2025</v>
      </c>
      <c r="U26" s="249" t="s">
        <v>127</v>
      </c>
      <c r="V26" s="249" t="s">
        <v>126</v>
      </c>
      <c r="W26" s="249" t="s">
        <v>129</v>
      </c>
      <c r="X26" s="249" t="s">
        <v>130</v>
      </c>
      <c r="Y26" s="314" t="s">
        <v>132</v>
      </c>
      <c r="Z26" s="249" t="s">
        <v>131</v>
      </c>
      <c r="AA26" s="249" t="s">
        <v>274</v>
      </c>
      <c r="AD26" s="181" t="s">
        <v>448</v>
      </c>
      <c r="AF26" s="96"/>
      <c r="AG26" s="181" t="s">
        <v>449</v>
      </c>
      <c r="AI26" s="96"/>
    </row>
    <row r="27" spans="1:37" x14ac:dyDescent="0.2">
      <c r="B27" s="125">
        <v>1801</v>
      </c>
      <c r="C27" s="255">
        <f>SUM('01'!N3)/1000</f>
        <v>1463.2956299999998</v>
      </c>
      <c r="D27" s="255">
        <f>SUM('01'!N4)/1000</f>
        <v>144.67732000000001</v>
      </c>
      <c r="E27" s="255">
        <f>SUM('01'!N5)/1000</f>
        <v>941.91039999999998</v>
      </c>
      <c r="F27" s="255">
        <f>SUM('01'!N6)/1000</f>
        <v>786.24554000000001</v>
      </c>
      <c r="G27" s="255">
        <f>SUM('01'!N21)/1000</f>
        <v>1239.6030000000001</v>
      </c>
      <c r="H27" s="255">
        <f>SUM('01'!N23)/1000</f>
        <v>157.39837</v>
      </c>
      <c r="I27" s="255">
        <f>SUM('01'!N15)/1000</f>
        <v>481</v>
      </c>
      <c r="J27" s="45">
        <v>1</v>
      </c>
      <c r="K27" s="125">
        <v>1801</v>
      </c>
      <c r="L27" s="126">
        <f>AD3/U3</f>
        <v>17215.242705882352</v>
      </c>
      <c r="M27" s="126">
        <f t="shared" ref="L27:R33" si="7">AE3/V3</f>
        <v>20668.188571428571</v>
      </c>
      <c r="N27" s="126">
        <f t="shared" si="7"/>
        <v>18468.831372549019</v>
      </c>
      <c r="O27" s="126">
        <f t="shared" si="7"/>
        <v>32760.230833333335</v>
      </c>
      <c r="P27" s="126">
        <f>AH3/Y3</f>
        <v>30990.075000000001</v>
      </c>
      <c r="Q27" s="126">
        <f t="shared" si="7"/>
        <v>8284.1247368421045</v>
      </c>
      <c r="R27" s="126">
        <f t="shared" si="7"/>
        <v>12025</v>
      </c>
      <c r="T27" s="125">
        <v>1801</v>
      </c>
      <c r="U27" s="130">
        <f>SUM(U3/L3)*100</f>
        <v>87.628865979381445</v>
      </c>
      <c r="V27" s="130">
        <f t="shared" ref="V27:Y33" si="8">SUM(V3/M3)*100</f>
        <v>53.846153846153847</v>
      </c>
      <c r="W27" s="130">
        <f t="shared" si="8"/>
        <v>96.226415094339629</v>
      </c>
      <c r="X27" s="130">
        <f t="shared" si="8"/>
        <v>100</v>
      </c>
      <c r="Y27" s="130">
        <f>SUM(Y3/P3)*100</f>
        <v>97.560975609756099</v>
      </c>
      <c r="Z27" s="130">
        <f t="shared" ref="Z27:AA33" si="9">SUM(Z3/Q3)*100</f>
        <v>100</v>
      </c>
      <c r="AA27" s="130">
        <f>SUM(AA3/R3)*100</f>
        <v>76.923076923076934</v>
      </c>
      <c r="AD27" s="221" t="s">
        <v>149</v>
      </c>
      <c r="AE27" s="220">
        <f>SUM(C24:H24)</f>
        <v>16096</v>
      </c>
      <c r="AF27" s="308">
        <f>SUM(AD24:AI24)</f>
        <v>242570322.65999997</v>
      </c>
      <c r="AG27" s="221" t="s">
        <v>149</v>
      </c>
      <c r="AH27" s="220">
        <f>SUM(C24:I24)</f>
        <v>16936</v>
      </c>
      <c r="AI27" s="311">
        <f>SUM(AD24:AJ24)</f>
        <v>252089990.21999997</v>
      </c>
      <c r="AJ27" s="256"/>
      <c r="AK27" s="256"/>
    </row>
    <row r="28" spans="1:37" x14ac:dyDescent="0.2">
      <c r="B28" s="125">
        <v>1802</v>
      </c>
      <c r="C28" s="255">
        <f>SUM('02'!N3)/1000</f>
        <v>4111.3679000000002</v>
      </c>
      <c r="D28" s="255">
        <f>SUM('02'!N4)/1000</f>
        <v>155.61410999999998</v>
      </c>
      <c r="E28" s="255">
        <f>SUM('02'!N5)/1000</f>
        <v>1264.0668700000001</v>
      </c>
      <c r="F28" s="255">
        <f>SUM('02'!N6)/1000</f>
        <v>1315.61808</v>
      </c>
      <c r="G28" s="255">
        <f>SUM('02'!N21)/1000</f>
        <v>4438.5949199999995</v>
      </c>
      <c r="H28" s="255">
        <f>SUM('02'!N23)/1000</f>
        <v>2327.2848799999997</v>
      </c>
      <c r="I28" s="255">
        <f>SUM('02'!N15)/1000</f>
        <v>936</v>
      </c>
      <c r="J28" s="45">
        <v>2</v>
      </c>
      <c r="K28" s="125">
        <v>1802</v>
      </c>
      <c r="L28" s="126">
        <f t="shared" si="7"/>
        <v>19766.191826923077</v>
      </c>
      <c r="M28" s="126">
        <f t="shared" si="7"/>
        <v>9153.7711764705873</v>
      </c>
      <c r="N28" s="126">
        <f t="shared" si="7"/>
        <v>9294.6093382352956</v>
      </c>
      <c r="O28" s="126">
        <f t="shared" si="7"/>
        <v>21926.968000000001</v>
      </c>
      <c r="P28" s="126">
        <f t="shared" si="7"/>
        <v>33882.403969465646</v>
      </c>
      <c r="Q28" s="126">
        <f t="shared" si="7"/>
        <v>49516.699574468083</v>
      </c>
      <c r="R28" s="126">
        <f t="shared" si="7"/>
        <v>17660.377358490565</v>
      </c>
      <c r="T28" s="125">
        <v>1802</v>
      </c>
      <c r="U28" s="130">
        <f t="shared" ref="U28:U33" si="10">SUM(U4/L4)*100</f>
        <v>88.135593220338976</v>
      </c>
      <c r="V28" s="130">
        <f t="shared" si="8"/>
        <v>94.444444444444443</v>
      </c>
      <c r="W28" s="130">
        <f t="shared" si="8"/>
        <v>98.550724637681171</v>
      </c>
      <c r="X28" s="130">
        <f t="shared" si="8"/>
        <v>100</v>
      </c>
      <c r="Y28" s="130">
        <f t="shared" si="8"/>
        <v>99.242424242424249</v>
      </c>
      <c r="Z28" s="130">
        <f t="shared" si="9"/>
        <v>97.916666666666657</v>
      </c>
      <c r="AA28" s="130">
        <f t="shared" si="9"/>
        <v>89.830508474576277</v>
      </c>
      <c r="AD28" s="221" t="s">
        <v>150</v>
      </c>
      <c r="AE28" s="220">
        <f>SUM(L24:Q24)</f>
        <v>13476</v>
      </c>
      <c r="AF28" s="309">
        <f>SUM(C50:H50)</f>
        <v>242570.32265999995</v>
      </c>
      <c r="AG28" s="221" t="s">
        <v>150</v>
      </c>
      <c r="AH28" s="220">
        <f>SUM(L24:R24)</f>
        <v>14369</v>
      </c>
      <c r="AI28" s="309">
        <f>SUM(C50:I50)</f>
        <v>252089.99021999995</v>
      </c>
      <c r="AJ28" s="256"/>
      <c r="AK28" s="256"/>
    </row>
    <row r="29" spans="1:37" x14ac:dyDescent="0.2">
      <c r="B29" s="125">
        <v>1803</v>
      </c>
      <c r="C29" s="255">
        <f>SUM('03'!N3)/1000</f>
        <v>2690.21335</v>
      </c>
      <c r="D29" s="255">
        <f>SUM('03'!N4)/1000</f>
        <v>87.040559999999999</v>
      </c>
      <c r="E29" s="255">
        <f>SUM('03'!N5)/1000</f>
        <v>1776.0338200000001</v>
      </c>
      <c r="F29" s="255">
        <f>SUM('03'!N6)/1000</f>
        <v>46.62717</v>
      </c>
      <c r="G29" s="255">
        <f>SUM('03'!N21)/1000</f>
        <v>2068.9181100000001</v>
      </c>
      <c r="H29" s="255">
        <f>SUM('03'!N23)/1000</f>
        <v>1329</v>
      </c>
      <c r="I29" s="255">
        <f>SUM('03'!N15)/1000</f>
        <v>240</v>
      </c>
      <c r="J29" s="45">
        <v>3</v>
      </c>
      <c r="K29" s="125">
        <v>1803</v>
      </c>
      <c r="L29" s="126">
        <f t="shared" si="7"/>
        <v>24909.382870370373</v>
      </c>
      <c r="M29" s="126">
        <f t="shared" si="7"/>
        <v>7253.38</v>
      </c>
      <c r="N29" s="126">
        <f t="shared" si="7"/>
        <v>9652.3577173913054</v>
      </c>
      <c r="O29" s="126">
        <f t="shared" si="7"/>
        <v>11656.7925</v>
      </c>
      <c r="P29" s="126">
        <f t="shared" si="7"/>
        <v>24340.21305882353</v>
      </c>
      <c r="Q29" s="126">
        <f t="shared" si="7"/>
        <v>34076.923076923078</v>
      </c>
      <c r="R29" s="126">
        <f t="shared" si="7"/>
        <v>8275.8620689655181</v>
      </c>
      <c r="T29" s="125">
        <v>1803</v>
      </c>
      <c r="U29" s="130">
        <f t="shared" si="10"/>
        <v>67.5</v>
      </c>
      <c r="V29" s="130">
        <f t="shared" si="8"/>
        <v>66.666666666666657</v>
      </c>
      <c r="W29" s="130">
        <f t="shared" si="8"/>
        <v>97.354497354497354</v>
      </c>
      <c r="X29" s="130">
        <f t="shared" si="8"/>
        <v>100</v>
      </c>
      <c r="Y29" s="130">
        <f t="shared" si="8"/>
        <v>100</v>
      </c>
      <c r="Z29" s="130">
        <f t="shared" si="9"/>
        <v>100</v>
      </c>
      <c r="AA29" s="130">
        <f t="shared" si="9"/>
        <v>93.548387096774192</v>
      </c>
      <c r="AD29" s="244" t="s">
        <v>151</v>
      </c>
      <c r="AE29" s="220">
        <f>SUM(U24:Z24)</f>
        <v>11613</v>
      </c>
      <c r="AF29" s="308">
        <f>SUM(AF27)/1000</f>
        <v>242570.32265999998</v>
      </c>
      <c r="AG29" s="244" t="s">
        <v>151</v>
      </c>
      <c r="AH29" s="220">
        <f>SUM(U24:AA24)</f>
        <v>12352</v>
      </c>
      <c r="AI29" s="96">
        <f>SUM(AI27)/1000</f>
        <v>252089.99021999998</v>
      </c>
      <c r="AJ29" s="256"/>
      <c r="AK29" s="256"/>
    </row>
    <row r="30" spans="1:37" x14ac:dyDescent="0.2">
      <c r="B30" s="125">
        <v>1804</v>
      </c>
      <c r="C30" s="255">
        <f>SUM('04'!N3)/1000</f>
        <v>3924.4021299999999</v>
      </c>
      <c r="D30" s="255">
        <f>SUM('04'!N4)/1000</f>
        <v>315.52767</v>
      </c>
      <c r="E30" s="255">
        <f>SUM('04'!N5)/1000</f>
        <v>897.45874000000003</v>
      </c>
      <c r="F30" s="255">
        <f>SUM('04'!N6)/1000</f>
        <v>5886.5639800000008</v>
      </c>
      <c r="G30" s="255">
        <f>SUM('04'!N21)/1000</f>
        <v>2403.5100000000002</v>
      </c>
      <c r="H30" s="255">
        <f>SUM('04'!N23)/1000</f>
        <v>2300.8544500000003</v>
      </c>
      <c r="I30" s="255">
        <f>SUM('04'!N15)/1000</f>
        <v>1010.6655</v>
      </c>
      <c r="J30" s="45">
        <v>4</v>
      </c>
      <c r="K30" s="125">
        <v>1804</v>
      </c>
      <c r="L30" s="126">
        <f t="shared" si="7"/>
        <v>16915.526422413794</v>
      </c>
      <c r="M30" s="126">
        <f t="shared" si="7"/>
        <v>13146.98625</v>
      </c>
      <c r="N30" s="126">
        <f t="shared" si="7"/>
        <v>7179.6699200000003</v>
      </c>
      <c r="O30" s="126">
        <f t="shared" si="7"/>
        <v>25593.756434782612</v>
      </c>
      <c r="P30" s="126">
        <f t="shared" si="7"/>
        <v>25844.193548387098</v>
      </c>
      <c r="Q30" s="126">
        <f t="shared" si="7"/>
        <v>18706.133739837402</v>
      </c>
      <c r="R30" s="126">
        <f t="shared" si="7"/>
        <v>40426.620000000003</v>
      </c>
      <c r="T30" s="125">
        <v>1804</v>
      </c>
      <c r="U30" s="130">
        <f t="shared" si="10"/>
        <v>88.549618320610691</v>
      </c>
      <c r="V30" s="130">
        <f t="shared" si="8"/>
        <v>72.727272727272734</v>
      </c>
      <c r="W30" s="130">
        <f t="shared" si="8"/>
        <v>98.425196850393704</v>
      </c>
      <c r="X30" s="130">
        <f t="shared" si="8"/>
        <v>98.290598290598282</v>
      </c>
      <c r="Y30" s="130">
        <f t="shared" si="8"/>
        <v>100</v>
      </c>
      <c r="Z30" s="130">
        <f t="shared" si="9"/>
        <v>99.193548387096769</v>
      </c>
      <c r="AA30" s="130">
        <f t="shared" si="9"/>
        <v>80.645161290322577</v>
      </c>
      <c r="AD30" s="244" t="s">
        <v>152</v>
      </c>
      <c r="AE30" s="264">
        <f>SUM(C50:H50)</f>
        <v>242570.32265999995</v>
      </c>
      <c r="AF30" s="96"/>
      <c r="AG30" s="244" t="s">
        <v>152</v>
      </c>
      <c r="AH30" s="264">
        <f>SUM(C50:I50)</f>
        <v>252089.99021999995</v>
      </c>
      <c r="AI30" s="307"/>
      <c r="AJ30" s="256"/>
      <c r="AK30" s="256"/>
    </row>
    <row r="31" spans="1:37" x14ac:dyDescent="0.2">
      <c r="B31" s="125">
        <v>1805</v>
      </c>
      <c r="C31" s="255">
        <f>SUM('05'!N3)/1000</f>
        <v>3692.09078</v>
      </c>
      <c r="D31" s="255">
        <f>SUM('05'!N4)/1000</f>
        <v>264.19576000000001</v>
      </c>
      <c r="E31" s="255">
        <f>SUM('05'!N5)/1000</f>
        <v>1494.0477800000001</v>
      </c>
      <c r="F31" s="255">
        <f>SUM('05'!N6)/1000</f>
        <v>1283.52835</v>
      </c>
      <c r="G31" s="255">
        <f>SUM('05'!N21)/1000</f>
        <v>3866.28539</v>
      </c>
      <c r="H31" s="255">
        <f>SUM('05'!N23)/1000</f>
        <v>6263.7949900000003</v>
      </c>
      <c r="I31" s="255">
        <f>SUM('05'!N15)/1000</f>
        <v>600.81872999999996</v>
      </c>
      <c r="J31" s="45">
        <v>5</v>
      </c>
      <c r="K31" s="125">
        <v>1805</v>
      </c>
      <c r="L31" s="126">
        <f t="shared" si="7"/>
        <v>19743.800962566846</v>
      </c>
      <c r="M31" s="126">
        <f t="shared" si="7"/>
        <v>17613.050666666666</v>
      </c>
      <c r="N31" s="126">
        <f t="shared" si="7"/>
        <v>9960.3185333333331</v>
      </c>
      <c r="O31" s="126">
        <f t="shared" si="7"/>
        <v>21041.448360655741</v>
      </c>
      <c r="P31" s="126">
        <f t="shared" si="7"/>
        <v>36474.390471698112</v>
      </c>
      <c r="Q31" s="126">
        <f t="shared" si="7"/>
        <v>39148.718687500004</v>
      </c>
      <c r="R31" s="126">
        <f t="shared" si="7"/>
        <v>16238.344054054054</v>
      </c>
      <c r="T31" s="125">
        <v>1805</v>
      </c>
      <c r="U31" s="130">
        <f t="shared" si="10"/>
        <v>87.793427230046944</v>
      </c>
      <c r="V31" s="130">
        <f t="shared" si="8"/>
        <v>40.54054054054054</v>
      </c>
      <c r="W31" s="130">
        <f t="shared" si="8"/>
        <v>92.592592592592595</v>
      </c>
      <c r="X31" s="130">
        <f t="shared" si="8"/>
        <v>95.3125</v>
      </c>
      <c r="Y31" s="130">
        <f t="shared" si="8"/>
        <v>97.247706422018354</v>
      </c>
      <c r="Z31" s="130">
        <f t="shared" si="9"/>
        <v>86.021505376344081</v>
      </c>
      <c r="AA31" s="130">
        <f t="shared" si="9"/>
        <v>84.090909090909093</v>
      </c>
      <c r="AD31" s="244" t="s">
        <v>153</v>
      </c>
      <c r="AE31" s="264">
        <f>SUM(L50:Q50)</f>
        <v>127817.06845600536</v>
      </c>
      <c r="AF31" s="310"/>
      <c r="AG31" s="244" t="s">
        <v>153</v>
      </c>
      <c r="AH31" s="264">
        <f>SUM(L50:R50)</f>
        <v>140698.89194720969</v>
      </c>
      <c r="AI31" s="312"/>
      <c r="AJ31" s="256"/>
      <c r="AK31" s="256"/>
    </row>
    <row r="32" spans="1:37" x14ac:dyDescent="0.2">
      <c r="B32" s="125">
        <v>1806</v>
      </c>
      <c r="C32" s="255">
        <f>SUM('06'!N3)/1000</f>
        <v>2039.9149199999999</v>
      </c>
      <c r="D32" s="255">
        <f>SUM('06'!N4)/1000</f>
        <v>349.57221999999996</v>
      </c>
      <c r="E32" s="255">
        <f>SUM('06'!N5)/1000</f>
        <v>865.08807999999999</v>
      </c>
      <c r="F32" s="255">
        <f>SUM('06'!N6)/1000</f>
        <v>416.91929999999996</v>
      </c>
      <c r="G32" s="255">
        <f>SUM('06'!N21)/1000</f>
        <v>2221.20991</v>
      </c>
      <c r="H32" s="255">
        <f>SUM('06'!N23)/1000</f>
        <v>1391.7650800000001</v>
      </c>
      <c r="I32" s="261">
        <f>SUM('06'!N15)/1000</f>
        <v>0</v>
      </c>
      <c r="J32" s="45">
        <v>6</v>
      </c>
      <c r="K32" s="125">
        <v>1806</v>
      </c>
      <c r="L32" s="126">
        <f t="shared" si="7"/>
        <v>21030.050721649484</v>
      </c>
      <c r="M32" s="126">
        <f t="shared" si="7"/>
        <v>17478.610999999997</v>
      </c>
      <c r="N32" s="126">
        <f t="shared" si="7"/>
        <v>9612.0897777777773</v>
      </c>
      <c r="O32" s="126">
        <f t="shared" si="7"/>
        <v>26057.456249999999</v>
      </c>
      <c r="P32" s="126">
        <f t="shared" si="7"/>
        <v>58452.892368421053</v>
      </c>
      <c r="Q32" s="126">
        <f t="shared" si="7"/>
        <v>19882.358285714286</v>
      </c>
      <c r="R32" s="262" t="e">
        <f t="shared" si="7"/>
        <v>#DIV/0!</v>
      </c>
      <c r="T32" s="125">
        <v>1806</v>
      </c>
      <c r="U32" s="130">
        <f t="shared" si="10"/>
        <v>87.387387387387378</v>
      </c>
      <c r="V32" s="130">
        <f t="shared" si="8"/>
        <v>40</v>
      </c>
      <c r="W32" s="130">
        <f t="shared" si="8"/>
        <v>96.774193548387103</v>
      </c>
      <c r="X32" s="130">
        <f t="shared" si="8"/>
        <v>94.117647058823522</v>
      </c>
      <c r="Y32" s="130">
        <f t="shared" si="8"/>
        <v>100</v>
      </c>
      <c r="Z32" s="130">
        <f t="shared" si="9"/>
        <v>98.591549295774655</v>
      </c>
      <c r="AA32" s="248" t="e">
        <f t="shared" si="9"/>
        <v>#DIV/0!</v>
      </c>
      <c r="AD32" s="244" t="s">
        <v>154</v>
      </c>
      <c r="AE32" s="264">
        <f>SUM(AD24:AI24)</f>
        <v>242570322.65999997</v>
      </c>
      <c r="AF32" s="96"/>
      <c r="AG32" s="244" t="s">
        <v>154</v>
      </c>
      <c r="AH32" s="264">
        <f>SUM(AD24:AJ24)</f>
        <v>252089990.21999997</v>
      </c>
      <c r="AI32" s="307"/>
      <c r="AJ32" s="256"/>
      <c r="AK32" s="256"/>
    </row>
    <row r="33" spans="2:37" x14ac:dyDescent="0.2">
      <c r="B33" s="252" t="s">
        <v>255</v>
      </c>
      <c r="C33" s="255">
        <f>SUM('07'!N3)/1000</f>
        <v>2761.2036600000001</v>
      </c>
      <c r="D33" s="255">
        <f>SUM('07'!N4)/1000</f>
        <v>94.923369999999991</v>
      </c>
      <c r="E33" s="255">
        <f>SUM('07'!N5)/1000</f>
        <v>815.14327000000003</v>
      </c>
      <c r="F33" s="255">
        <f>SUM('07'!N6)/1000</f>
        <v>394.64109000000002</v>
      </c>
      <c r="G33" s="255">
        <f>SUM('07'!N21)/1000</f>
        <v>2965.6942300000001</v>
      </c>
      <c r="H33" s="255">
        <f>SUM('07'!N23)/1000</f>
        <v>2671.50695</v>
      </c>
      <c r="I33" s="255">
        <f>SUM('07'!N15)/1000</f>
        <v>328</v>
      </c>
      <c r="J33" s="45">
        <v>7</v>
      </c>
      <c r="K33" s="252" t="s">
        <v>255</v>
      </c>
      <c r="L33" s="126">
        <f t="shared" si="7"/>
        <v>16338.483195266273</v>
      </c>
      <c r="M33" s="126">
        <f t="shared" si="7"/>
        <v>13560.481428571427</v>
      </c>
      <c r="N33" s="126">
        <f t="shared" si="7"/>
        <v>10450.554743589744</v>
      </c>
      <c r="O33" s="126">
        <f t="shared" si="7"/>
        <v>14616.336666666668</v>
      </c>
      <c r="P33" s="126">
        <f t="shared" si="7"/>
        <v>36613.509012345676</v>
      </c>
      <c r="Q33" s="126">
        <f t="shared" si="7"/>
        <v>33816.54367088608</v>
      </c>
      <c r="R33" s="126">
        <f t="shared" si="7"/>
        <v>9939.3939393939399</v>
      </c>
      <c r="T33" s="252" t="s">
        <v>255</v>
      </c>
      <c r="U33" s="130">
        <f t="shared" si="10"/>
        <v>86.666666666666671</v>
      </c>
      <c r="V33" s="130">
        <f t="shared" si="8"/>
        <v>43.75</v>
      </c>
      <c r="W33" s="130">
        <f t="shared" si="8"/>
        <v>100</v>
      </c>
      <c r="X33" s="130">
        <f t="shared" si="8"/>
        <v>100</v>
      </c>
      <c r="Y33" s="130">
        <f t="shared" si="8"/>
        <v>100</v>
      </c>
      <c r="Z33" s="130">
        <f t="shared" si="9"/>
        <v>83.15789473684211</v>
      </c>
      <c r="AA33" s="130">
        <f t="shared" si="9"/>
        <v>97.058823529411768</v>
      </c>
      <c r="AI33" s="257"/>
      <c r="AJ33" s="256"/>
      <c r="AK33" s="256"/>
    </row>
    <row r="34" spans="2:37" x14ac:dyDescent="0.2">
      <c r="B34" s="249"/>
      <c r="C34" s="258"/>
      <c r="D34" s="258"/>
      <c r="E34" s="258"/>
      <c r="F34" s="258"/>
      <c r="G34" s="258"/>
      <c r="H34" s="258"/>
      <c r="I34" s="258"/>
      <c r="K34" s="249"/>
      <c r="L34" s="259"/>
      <c r="M34" s="259"/>
      <c r="N34" s="259"/>
      <c r="O34" s="259"/>
      <c r="P34" s="259"/>
      <c r="Q34" s="259"/>
      <c r="R34" s="259"/>
      <c r="T34" s="249"/>
      <c r="U34" s="260"/>
      <c r="V34" s="260"/>
      <c r="W34" s="260"/>
      <c r="X34" s="260"/>
      <c r="Y34" s="260"/>
      <c r="Z34" s="260"/>
      <c r="AA34" s="260"/>
      <c r="AD34" s="221">
        <v>1</v>
      </c>
      <c r="AE34" s="797" t="s">
        <v>1</v>
      </c>
      <c r="AF34" s="798"/>
      <c r="AG34" s="798"/>
      <c r="AH34" s="799"/>
      <c r="AI34" s="257"/>
      <c r="AJ34" s="256"/>
      <c r="AK34" s="256"/>
    </row>
    <row r="35" spans="2:37" x14ac:dyDescent="0.2">
      <c r="B35" s="125">
        <v>1808</v>
      </c>
      <c r="C35" s="255">
        <f>SUM('08'!N3)/1000</f>
        <v>5492.2532000000001</v>
      </c>
      <c r="D35" s="255">
        <f>SUM('08'!N4)/1000</f>
        <v>405.59917999999999</v>
      </c>
      <c r="E35" s="255">
        <f>SUM('08'!N5)/1000</f>
        <v>699.85778000000005</v>
      </c>
      <c r="F35" s="255">
        <f>SUM('08'!N6)/1000</f>
        <v>1669.0151799999999</v>
      </c>
      <c r="G35" s="255">
        <f>SUM('08'!N21)/1000</f>
        <v>1994.0901999999999</v>
      </c>
      <c r="H35" s="255">
        <f>SUM('08'!N23)/1000</f>
        <v>902.12031999999999</v>
      </c>
      <c r="I35" s="255">
        <f>SUM('08'!N15)/1000</f>
        <v>220</v>
      </c>
      <c r="J35" s="45">
        <v>8</v>
      </c>
      <c r="K35" s="125">
        <v>1808</v>
      </c>
      <c r="L35" s="126">
        <f t="shared" ref="L35:R41" si="11">AD10/U10</f>
        <v>17831.99090909091</v>
      </c>
      <c r="M35" s="126">
        <f t="shared" si="11"/>
        <v>25349.94875</v>
      </c>
      <c r="N35" s="126">
        <f t="shared" si="11"/>
        <v>9857.1518309859166</v>
      </c>
      <c r="O35" s="126">
        <f t="shared" si="11"/>
        <v>12182.592554744526</v>
      </c>
      <c r="P35" s="126">
        <f t="shared" si="11"/>
        <v>33798.138983050849</v>
      </c>
      <c r="Q35" s="126">
        <f t="shared" si="11"/>
        <v>15035.338666666667</v>
      </c>
      <c r="R35" s="126">
        <f t="shared" si="11"/>
        <v>10476.190476190477</v>
      </c>
      <c r="T35" s="125">
        <v>1808</v>
      </c>
      <c r="U35" s="130">
        <f t="shared" ref="U35:AA41" si="12">SUM(U10/L10)*100</f>
        <v>85.318559556786695</v>
      </c>
      <c r="V35" s="130">
        <f t="shared" si="12"/>
        <v>18.604651162790699</v>
      </c>
      <c r="W35" s="130">
        <f t="shared" si="12"/>
        <v>95.945945945945937</v>
      </c>
      <c r="X35" s="130">
        <f t="shared" si="12"/>
        <v>97.163120567375884</v>
      </c>
      <c r="Y35" s="130">
        <f t="shared" si="12"/>
        <v>89.393939393939391</v>
      </c>
      <c r="Z35" s="130">
        <f t="shared" si="12"/>
        <v>78.94736842105263</v>
      </c>
      <c r="AA35" s="130">
        <f t="shared" si="12"/>
        <v>87.5</v>
      </c>
      <c r="AD35" s="221">
        <v>2</v>
      </c>
      <c r="AE35" s="797" t="s">
        <v>2</v>
      </c>
      <c r="AF35" s="798"/>
      <c r="AG35" s="798"/>
      <c r="AH35" s="799"/>
      <c r="AI35" s="257"/>
      <c r="AJ35" s="256"/>
      <c r="AK35" s="256"/>
    </row>
    <row r="36" spans="2:37" x14ac:dyDescent="0.2">
      <c r="B36" s="125">
        <v>1809</v>
      </c>
      <c r="C36" s="255">
        <f>SUM('09'!N3)/1000</f>
        <v>3385.8937700000001</v>
      </c>
      <c r="D36" s="255">
        <f>SUM('09'!N4)/1000</f>
        <v>19.570580000000003</v>
      </c>
      <c r="E36" s="255">
        <f>SUM('09'!N5)/1000</f>
        <v>1762.6963600000001</v>
      </c>
      <c r="F36" s="255">
        <f>SUM('09'!N6)/1000</f>
        <v>532.26363000000003</v>
      </c>
      <c r="G36" s="255">
        <f>SUM('09'!N21)/1000</f>
        <v>746.27200000000005</v>
      </c>
      <c r="H36" s="261">
        <f>SUM('09'!N23)/1000</f>
        <v>0</v>
      </c>
      <c r="I36" s="255">
        <f>SUM('09'!N15)/1000</f>
        <v>670.85</v>
      </c>
      <c r="J36" s="45">
        <v>9</v>
      </c>
      <c r="K36" s="125">
        <v>1809</v>
      </c>
      <c r="L36" s="126">
        <f t="shared" si="11"/>
        <v>14347.0075</v>
      </c>
      <c r="M36" s="126">
        <f t="shared" si="11"/>
        <v>9785.2900000000009</v>
      </c>
      <c r="N36" s="126">
        <f t="shared" si="11"/>
        <v>11910.110540540541</v>
      </c>
      <c r="O36" s="126">
        <f t="shared" si="11"/>
        <v>22177.651249999999</v>
      </c>
      <c r="P36" s="126">
        <f t="shared" si="11"/>
        <v>27639.703703703704</v>
      </c>
      <c r="Q36" s="262">
        <f t="shared" si="11"/>
        <v>0</v>
      </c>
      <c r="R36" s="126">
        <f t="shared" si="11"/>
        <v>10320.76923076923</v>
      </c>
      <c r="T36" s="125">
        <v>1809</v>
      </c>
      <c r="U36" s="130">
        <f t="shared" si="12"/>
        <v>85.507246376811594</v>
      </c>
      <c r="V36" s="130">
        <f t="shared" si="12"/>
        <v>100</v>
      </c>
      <c r="W36" s="130">
        <f t="shared" si="12"/>
        <v>98.666666666666671</v>
      </c>
      <c r="X36" s="130">
        <f t="shared" si="12"/>
        <v>100</v>
      </c>
      <c r="Y36" s="130">
        <f t="shared" si="12"/>
        <v>100</v>
      </c>
      <c r="Z36" s="248">
        <f>SUM(Z11/Q11)*100</f>
        <v>100</v>
      </c>
      <c r="AA36" s="130">
        <f t="shared" si="12"/>
        <v>90.277777777777786</v>
      </c>
      <c r="AD36" s="221">
        <v>3</v>
      </c>
      <c r="AE36" s="797" t="s">
        <v>3</v>
      </c>
      <c r="AF36" s="798"/>
      <c r="AG36" s="798"/>
      <c r="AH36" s="799"/>
      <c r="AI36" s="257"/>
      <c r="AJ36" s="256"/>
      <c r="AK36" s="256"/>
    </row>
    <row r="37" spans="2:37" x14ac:dyDescent="0.2">
      <c r="B37" s="125">
        <v>1810</v>
      </c>
      <c r="C37" s="255">
        <f>SUM('10'!N3)/1000</f>
        <v>2257.7217099999998</v>
      </c>
      <c r="D37" s="255">
        <f>SUM('10'!N4)/1000</f>
        <v>197.58170000000001</v>
      </c>
      <c r="E37" s="255">
        <f>SUM('10'!N5)/1000</f>
        <v>1725.9921999999999</v>
      </c>
      <c r="F37" s="255">
        <f>SUM('10'!N6)/1000</f>
        <v>1544.8818200000001</v>
      </c>
      <c r="G37" s="255">
        <f>SUM('10'!N21)/1000</f>
        <v>2070.1582199999998</v>
      </c>
      <c r="H37" s="255">
        <f>SUM('10'!N23)/1000</f>
        <v>2091.2049699999998</v>
      </c>
      <c r="I37" s="255">
        <f>SUM('10'!N15)/1000</f>
        <v>275</v>
      </c>
      <c r="J37" s="45">
        <v>10</v>
      </c>
      <c r="K37" s="125">
        <v>1810</v>
      </c>
      <c r="L37" s="126">
        <f t="shared" si="11"/>
        <v>21100.202897196261</v>
      </c>
      <c r="M37" s="126">
        <f t="shared" si="11"/>
        <v>6174.4281250000004</v>
      </c>
      <c r="N37" s="126">
        <f t="shared" si="11"/>
        <v>14383.268333333333</v>
      </c>
      <c r="O37" s="126">
        <f t="shared" si="11"/>
        <v>19806.177179487182</v>
      </c>
      <c r="P37" s="126">
        <f t="shared" si="11"/>
        <v>30002.293043478257</v>
      </c>
      <c r="Q37" s="126">
        <f t="shared" si="11"/>
        <v>35444.152033898303</v>
      </c>
      <c r="R37" s="126">
        <f t="shared" si="11"/>
        <v>11956.521739130434</v>
      </c>
      <c r="T37" s="125">
        <v>1810</v>
      </c>
      <c r="U37" s="130">
        <f t="shared" si="12"/>
        <v>75.352112676056336</v>
      </c>
      <c r="V37" s="130">
        <f t="shared" si="12"/>
        <v>52.459016393442624</v>
      </c>
      <c r="W37" s="130">
        <f t="shared" si="12"/>
        <v>99.173553719008268</v>
      </c>
      <c r="X37" s="130">
        <f t="shared" si="12"/>
        <v>100</v>
      </c>
      <c r="Y37" s="130">
        <f t="shared" si="12"/>
        <v>93.243243243243242</v>
      </c>
      <c r="Z37" s="130">
        <f t="shared" si="12"/>
        <v>85.507246376811594</v>
      </c>
      <c r="AA37" s="130">
        <f t="shared" si="12"/>
        <v>95.833333333333343</v>
      </c>
      <c r="AD37" s="221">
        <v>4</v>
      </c>
      <c r="AE37" s="797" t="s">
        <v>4</v>
      </c>
      <c r="AF37" s="798"/>
      <c r="AG37" s="798"/>
      <c r="AH37" s="799"/>
      <c r="AI37" s="257"/>
      <c r="AJ37" s="256"/>
      <c r="AK37" s="256"/>
    </row>
    <row r="38" spans="2:37" x14ac:dyDescent="0.2">
      <c r="B38" s="125">
        <v>1811</v>
      </c>
      <c r="C38" s="255">
        <f>SUM('11'!N3)/1000</f>
        <v>3419.6070299999997</v>
      </c>
      <c r="D38" s="255">
        <f>SUM('11'!N4)/1000</f>
        <v>92.09002000000001</v>
      </c>
      <c r="E38" s="255">
        <f>SUM('11'!N5)/1000</f>
        <v>2335.9097499999998</v>
      </c>
      <c r="F38" s="255">
        <f>SUM('11'!N6)/1000</f>
        <v>498.05879999999996</v>
      </c>
      <c r="G38" s="255">
        <f>SUM('11'!N21)/1000</f>
        <v>2341.4232700000002</v>
      </c>
      <c r="H38" s="255">
        <f>SUM('11'!N23)/1000</f>
        <v>2719.5984900000003</v>
      </c>
      <c r="I38" s="255">
        <f>SUM('11'!N15)/1000</f>
        <v>168</v>
      </c>
      <c r="J38" s="45">
        <v>11</v>
      </c>
      <c r="K38" s="125">
        <v>1811</v>
      </c>
      <c r="L38" s="126">
        <f t="shared" si="11"/>
        <v>17626.840360824743</v>
      </c>
      <c r="M38" s="126">
        <f t="shared" si="11"/>
        <v>11511.252500000001</v>
      </c>
      <c r="N38" s="126">
        <f t="shared" si="11"/>
        <v>11450.537990196079</v>
      </c>
      <c r="O38" s="126">
        <f t="shared" si="11"/>
        <v>11067.973333333333</v>
      </c>
      <c r="P38" s="126">
        <f t="shared" si="11"/>
        <v>32977.792535211265</v>
      </c>
      <c r="Q38" s="126">
        <f t="shared" si="11"/>
        <v>32376.172500000004</v>
      </c>
      <c r="R38" s="126">
        <f t="shared" si="11"/>
        <v>14000</v>
      </c>
      <c r="T38" s="125">
        <v>1811</v>
      </c>
      <c r="U38" s="130">
        <f t="shared" si="12"/>
        <v>78.542510121457482</v>
      </c>
      <c r="V38" s="130">
        <f t="shared" si="12"/>
        <v>57.142857142857139</v>
      </c>
      <c r="W38" s="130">
        <f t="shared" si="12"/>
        <v>80.314960629921259</v>
      </c>
      <c r="X38" s="130">
        <f t="shared" si="12"/>
        <v>100</v>
      </c>
      <c r="Y38" s="130">
        <f t="shared" si="12"/>
        <v>100</v>
      </c>
      <c r="Z38" s="130">
        <f t="shared" si="12"/>
        <v>85.714285714285708</v>
      </c>
      <c r="AA38" s="130">
        <f t="shared" si="12"/>
        <v>100</v>
      </c>
      <c r="AD38" s="221">
        <v>5</v>
      </c>
      <c r="AE38" s="797" t="s">
        <v>16</v>
      </c>
      <c r="AF38" s="798"/>
      <c r="AG38" s="798"/>
      <c r="AH38" s="799"/>
      <c r="AJ38" s="256"/>
      <c r="AK38" s="256"/>
    </row>
    <row r="39" spans="2:37" x14ac:dyDescent="0.2">
      <c r="B39" s="125">
        <v>1812</v>
      </c>
      <c r="C39" s="255">
        <f>SUM('12'!N3)/1000</f>
        <v>3098.3267799999999</v>
      </c>
      <c r="D39" s="255">
        <f>SUM('12'!N4)/1000</f>
        <v>501.92307</v>
      </c>
      <c r="E39" s="255">
        <f>SUM('12'!N5)/1000</f>
        <v>2557.8892599999999</v>
      </c>
      <c r="F39" s="255">
        <f>SUM('12'!N6)/1000</f>
        <v>411.52265999999997</v>
      </c>
      <c r="G39" s="255">
        <f>SUM('12'!N21)/1000</f>
        <v>3464.6374999999998</v>
      </c>
      <c r="H39" s="255">
        <f>SUM('12'!N23)/1000</f>
        <v>1174.9000000000001</v>
      </c>
      <c r="I39" s="255">
        <f>SUM('12'!N15)/1000</f>
        <v>120</v>
      </c>
      <c r="J39" s="45">
        <v>12</v>
      </c>
      <c r="K39" s="125">
        <v>1812</v>
      </c>
      <c r="L39" s="126">
        <f t="shared" si="11"/>
        <v>22950.568740740739</v>
      </c>
      <c r="M39" s="126">
        <f t="shared" si="11"/>
        <v>20913.46125</v>
      </c>
      <c r="N39" s="126">
        <f t="shared" si="11"/>
        <v>11318.09407079646</v>
      </c>
      <c r="O39" s="126">
        <f t="shared" si="11"/>
        <v>22862.37</v>
      </c>
      <c r="P39" s="126">
        <f t="shared" si="11"/>
        <v>60783.114035087718</v>
      </c>
      <c r="Q39" s="126">
        <f t="shared" si="11"/>
        <v>20980.357142857141</v>
      </c>
      <c r="R39" s="126">
        <f t="shared" si="11"/>
        <v>5454.545454545455</v>
      </c>
      <c r="T39" s="125">
        <v>1812</v>
      </c>
      <c r="U39" s="130">
        <f t="shared" si="12"/>
        <v>67.164179104477611</v>
      </c>
      <c r="V39" s="130">
        <f t="shared" si="12"/>
        <v>40</v>
      </c>
      <c r="W39" s="130">
        <f t="shared" si="12"/>
        <v>87.937743190661479</v>
      </c>
      <c r="X39" s="130">
        <f t="shared" si="12"/>
        <v>69.230769230769226</v>
      </c>
      <c r="Y39" s="130">
        <f t="shared" si="12"/>
        <v>100</v>
      </c>
      <c r="Z39" s="130">
        <f t="shared" si="12"/>
        <v>88.888888888888886</v>
      </c>
      <c r="AA39" s="130">
        <f t="shared" si="12"/>
        <v>91.666666666666657</v>
      </c>
      <c r="AD39" s="221">
        <v>6</v>
      </c>
      <c r="AE39" s="797" t="s">
        <v>17</v>
      </c>
      <c r="AF39" s="798"/>
      <c r="AG39" s="798"/>
      <c r="AH39" s="799"/>
      <c r="AJ39" s="256"/>
      <c r="AK39" s="256"/>
    </row>
    <row r="40" spans="2:37" x14ac:dyDescent="0.2">
      <c r="B40" s="125">
        <v>1814</v>
      </c>
      <c r="C40" s="255">
        <f>SUM('14'!N3)/1000</f>
        <v>5795.3716100000001</v>
      </c>
      <c r="D40" s="255">
        <f>SUM('14'!N4)/1000</f>
        <v>357.85798</v>
      </c>
      <c r="E40" s="255">
        <f>SUM('14'!N5)/1000</f>
        <v>2975.6230599999999</v>
      </c>
      <c r="F40" s="255">
        <f>SUM('14'!N6)/1000</f>
        <v>1537.5424800000001</v>
      </c>
      <c r="G40" s="255">
        <f>SUM('14'!N21)/1000</f>
        <v>1791.48604</v>
      </c>
      <c r="H40" s="255">
        <f>SUM('14'!N23)/1000</f>
        <v>1824.2719199999999</v>
      </c>
      <c r="I40" s="255">
        <f>SUM('14'!N15)/1000</f>
        <v>280</v>
      </c>
      <c r="J40" s="45">
        <v>13</v>
      </c>
      <c r="K40" s="125">
        <v>1814</v>
      </c>
      <c r="L40" s="126">
        <f t="shared" si="11"/>
        <v>23368.433911290325</v>
      </c>
      <c r="M40" s="126">
        <f t="shared" si="11"/>
        <v>9671.8372972972975</v>
      </c>
      <c r="N40" s="126">
        <f t="shared" si="11"/>
        <v>18597.644124999999</v>
      </c>
      <c r="O40" s="126">
        <f t="shared" si="11"/>
        <v>24405.43619047619</v>
      </c>
      <c r="P40" s="126">
        <f t="shared" si="11"/>
        <v>31429.579649122807</v>
      </c>
      <c r="Q40" s="126">
        <f t="shared" si="11"/>
        <v>52122.054857142852</v>
      </c>
      <c r="R40" s="126">
        <f t="shared" si="11"/>
        <v>11666.666666666666</v>
      </c>
      <c r="T40" s="125">
        <v>1814</v>
      </c>
      <c r="U40" s="130">
        <f t="shared" si="12"/>
        <v>77.5</v>
      </c>
      <c r="V40" s="130">
        <f t="shared" si="12"/>
        <v>90.243902439024396</v>
      </c>
      <c r="W40" s="130">
        <f t="shared" si="12"/>
        <v>83.769633507853399</v>
      </c>
      <c r="X40" s="130">
        <f t="shared" si="12"/>
        <v>81.818181818181827</v>
      </c>
      <c r="Y40" s="130">
        <f t="shared" si="12"/>
        <v>93.442622950819683</v>
      </c>
      <c r="Z40" s="130">
        <f t="shared" si="12"/>
        <v>85.365853658536579</v>
      </c>
      <c r="AA40" s="130">
        <f t="shared" si="12"/>
        <v>88.888888888888886</v>
      </c>
      <c r="AD40" s="263">
        <v>7</v>
      </c>
      <c r="AE40" s="794" t="s">
        <v>11</v>
      </c>
      <c r="AF40" s="795"/>
      <c r="AG40" s="795"/>
      <c r="AH40" s="796"/>
      <c r="AJ40" s="256"/>
      <c r="AK40" s="256"/>
    </row>
    <row r="41" spans="2:37" x14ac:dyDescent="0.2">
      <c r="B41" s="125">
        <v>1815</v>
      </c>
      <c r="C41" s="255">
        <f>SUM('15'!N3)/1000</f>
        <v>3280.80998</v>
      </c>
      <c r="D41" s="255">
        <f>SUM('15'!N4)/1000</f>
        <v>287.29007000000001</v>
      </c>
      <c r="E41" s="255">
        <f>SUM('15'!N5)/1000</f>
        <v>1315.63786</v>
      </c>
      <c r="F41" s="255">
        <f>SUM('15'!N6)/1000</f>
        <v>1283.7271000000001</v>
      </c>
      <c r="G41" s="255">
        <f>SUM('15'!N21)/1000</f>
        <v>2090.1841100000001</v>
      </c>
      <c r="H41" s="255">
        <f>SUM('15'!N23)/1000</f>
        <v>1246.578</v>
      </c>
      <c r="I41" s="255">
        <f>SUM('15'!N15)/1000</f>
        <v>80</v>
      </c>
      <c r="J41" s="45">
        <v>14</v>
      </c>
      <c r="K41" s="125">
        <v>1815</v>
      </c>
      <c r="L41" s="126">
        <f t="shared" si="11"/>
        <v>18855.229770114944</v>
      </c>
      <c r="M41" s="126">
        <f t="shared" si="11"/>
        <v>15120.53</v>
      </c>
      <c r="N41" s="126">
        <f t="shared" si="11"/>
        <v>15478.092470588237</v>
      </c>
      <c r="O41" s="126">
        <f t="shared" si="11"/>
        <v>25674.542000000001</v>
      </c>
      <c r="P41" s="126">
        <f t="shared" si="11"/>
        <v>32659.126718750002</v>
      </c>
      <c r="Q41" s="126">
        <f t="shared" si="11"/>
        <v>16189.324675324675</v>
      </c>
      <c r="R41" s="126">
        <f t="shared" si="11"/>
        <v>6666.666666666667</v>
      </c>
      <c r="T41" s="125">
        <v>1815</v>
      </c>
      <c r="U41" s="130">
        <f t="shared" si="12"/>
        <v>79.816513761467888</v>
      </c>
      <c r="V41" s="130">
        <f t="shared" si="12"/>
        <v>79.166666666666657</v>
      </c>
      <c r="W41" s="130">
        <f t="shared" si="12"/>
        <v>80.188679245283026</v>
      </c>
      <c r="X41" s="130">
        <f t="shared" si="12"/>
        <v>94.339622641509436</v>
      </c>
      <c r="Y41" s="130">
        <f t="shared" si="12"/>
        <v>96.969696969696969</v>
      </c>
      <c r="Z41" s="130">
        <f t="shared" si="12"/>
        <v>79.381443298969074</v>
      </c>
      <c r="AA41" s="130">
        <f t="shared" si="12"/>
        <v>92.307692307692307</v>
      </c>
      <c r="AJ41" s="256"/>
      <c r="AK41" s="256"/>
    </row>
    <row r="42" spans="2:37" x14ac:dyDescent="0.2">
      <c r="B42" s="249"/>
      <c r="C42" s="258"/>
      <c r="D42" s="258"/>
      <c r="E42" s="258"/>
      <c r="F42" s="258"/>
      <c r="G42" s="258"/>
      <c r="H42" s="258"/>
      <c r="I42" s="258"/>
      <c r="K42" s="249"/>
      <c r="L42" s="259"/>
      <c r="M42" s="259"/>
      <c r="N42" s="259"/>
      <c r="O42" s="259"/>
      <c r="P42" s="259"/>
      <c r="Q42" s="259"/>
      <c r="R42" s="259"/>
      <c r="T42" s="249"/>
      <c r="U42" s="260"/>
      <c r="V42" s="260"/>
      <c r="W42" s="260"/>
      <c r="X42" s="260"/>
      <c r="Y42" s="260"/>
      <c r="Z42" s="260"/>
      <c r="AA42" s="260"/>
      <c r="AD42" s="266">
        <f>SUM(AD24+AE24+AF24+AG24+AH24+AI24+AJ24)/(U24+V24+W24+X24+Y24+Z24+AA24)</f>
        <v>20408.839881800515</v>
      </c>
      <c r="AE42" s="266">
        <f>SUM(AD24+AE24+AF24+AG24+AH24+AI24)/(U24+V24+W24+X24+Y24+Z24)</f>
        <v>20887.82594161715</v>
      </c>
      <c r="AG42" s="256"/>
      <c r="AJ42" s="256"/>
      <c r="AK42" s="256"/>
    </row>
    <row r="43" spans="2:37" x14ac:dyDescent="0.2">
      <c r="B43" s="252" t="s">
        <v>253</v>
      </c>
      <c r="C43" s="255">
        <f>SUM('63'!N3)/1000</f>
        <v>4536.0781399999996</v>
      </c>
      <c r="D43" s="255">
        <f>SUM('63'!N4)/1000</f>
        <v>1321.8102900000001</v>
      </c>
      <c r="E43" s="255">
        <f>SUM('63'!N5)/1000</f>
        <v>1476.4063600000002</v>
      </c>
      <c r="F43" s="255">
        <f>SUM('63'!N6)/1000</f>
        <v>1981.6560200000001</v>
      </c>
      <c r="G43" s="255">
        <f>SUM('63'!N21)/1000</f>
        <v>12175.97559</v>
      </c>
      <c r="H43" s="255">
        <f>SUM('63'!N23)/1000</f>
        <v>8169.91975</v>
      </c>
      <c r="I43" s="255">
        <f>SUM('63'!N15)/1000</f>
        <v>716.13333</v>
      </c>
      <c r="J43" s="45">
        <v>15</v>
      </c>
      <c r="K43" s="252" t="s">
        <v>253</v>
      </c>
      <c r="L43" s="126">
        <f t="shared" ref="L43:R50" si="13">AD17/U17</f>
        <v>15376.536067796609</v>
      </c>
      <c r="M43" s="126">
        <f t="shared" si="13"/>
        <v>5083.8857307692306</v>
      </c>
      <c r="N43" s="126">
        <f t="shared" si="13"/>
        <v>11100.79969924812</v>
      </c>
      <c r="O43" s="126">
        <f t="shared" si="13"/>
        <v>19239.378834951458</v>
      </c>
      <c r="P43" s="126">
        <f t="shared" si="13"/>
        <v>37121.876798780489</v>
      </c>
      <c r="Q43" s="126">
        <f t="shared" si="13"/>
        <v>38719.998815165876</v>
      </c>
      <c r="R43" s="126">
        <f t="shared" si="13"/>
        <v>10086.384929577463</v>
      </c>
      <c r="T43" s="252" t="s">
        <v>253</v>
      </c>
      <c r="U43" s="130">
        <f t="shared" ref="U43:AA50" si="14">SUM(U17/L17)*100</f>
        <v>79.514824797843659</v>
      </c>
      <c r="V43" s="130">
        <f t="shared" si="14"/>
        <v>47.10144927536232</v>
      </c>
      <c r="W43" s="130">
        <f t="shared" si="14"/>
        <v>91.095890410958901</v>
      </c>
      <c r="X43" s="130">
        <f t="shared" si="14"/>
        <v>99.038461538461547</v>
      </c>
      <c r="Y43" s="130">
        <f t="shared" si="14"/>
        <v>98.498498498498492</v>
      </c>
      <c r="Z43" s="130">
        <f t="shared" si="14"/>
        <v>89.029535864978897</v>
      </c>
      <c r="AA43" s="130">
        <f t="shared" si="14"/>
        <v>95.945945945945937</v>
      </c>
      <c r="AD43" s="266">
        <f>SUM(U24+V24+W24+X24+Y24+Z24+AA24)/(L24+M24+N24+O24+P24+Q24+R24)*100</f>
        <v>85.962836662259036</v>
      </c>
      <c r="AE43" s="313">
        <f>SUM(U24+V24+W24+X24+Y24+Z24)/(L24+M24+N24+O24+P24+Q24)*100</f>
        <v>86.175422974176314</v>
      </c>
      <c r="AJ43" s="257"/>
      <c r="AK43" s="256"/>
    </row>
    <row r="44" spans="2:37" x14ac:dyDescent="0.2">
      <c r="B44" s="125">
        <v>1817</v>
      </c>
      <c r="C44" s="255">
        <f>SUM('17'!N3)/1000</f>
        <v>1938.32059</v>
      </c>
      <c r="D44" s="255">
        <f>SUM('17'!N4)/1000</f>
        <v>621.0421</v>
      </c>
      <c r="E44" s="255">
        <f>SUM('17'!N5)/1000</f>
        <v>1670.04952</v>
      </c>
      <c r="F44" s="255">
        <f>SUM('17'!N6)/1000</f>
        <v>257.23061000000001</v>
      </c>
      <c r="G44" s="255">
        <f>SUM('17'!N21)/1000</f>
        <v>4085.0892899999999</v>
      </c>
      <c r="H44" s="255">
        <f>SUM('17'!N23)/1000</f>
        <v>1199.5181499999999</v>
      </c>
      <c r="I44" s="255">
        <f>SUM('17'!N15)/1000</f>
        <v>743.7</v>
      </c>
      <c r="J44" s="45">
        <v>16</v>
      </c>
      <c r="K44" s="125">
        <v>1817</v>
      </c>
      <c r="L44" s="126">
        <f t="shared" si="13"/>
        <v>21536.895444444446</v>
      </c>
      <c r="M44" s="126">
        <f t="shared" si="13"/>
        <v>10350.701666666666</v>
      </c>
      <c r="N44" s="126">
        <f t="shared" si="13"/>
        <v>11760.912112676056</v>
      </c>
      <c r="O44" s="126">
        <f t="shared" si="13"/>
        <v>16076.913125000001</v>
      </c>
      <c r="P44" s="126">
        <f t="shared" si="13"/>
        <v>38178.404579439251</v>
      </c>
      <c r="Q44" s="126">
        <f t="shared" si="13"/>
        <v>16894.621830985914</v>
      </c>
      <c r="R44" s="126">
        <f t="shared" si="13"/>
        <v>14582.35294117647</v>
      </c>
      <c r="T44" s="125">
        <v>1817</v>
      </c>
      <c r="U44" s="130">
        <f t="shared" si="14"/>
        <v>79.646017699115049</v>
      </c>
      <c r="V44" s="130">
        <f t="shared" si="14"/>
        <v>61.855670103092784</v>
      </c>
      <c r="W44" s="130">
        <f t="shared" si="14"/>
        <v>93.421052631578945</v>
      </c>
      <c r="X44" s="130">
        <f t="shared" si="14"/>
        <v>88.888888888888886</v>
      </c>
      <c r="Y44" s="130">
        <f t="shared" si="14"/>
        <v>97.27272727272728</v>
      </c>
      <c r="Z44" s="130">
        <f t="shared" si="14"/>
        <v>92.20779220779221</v>
      </c>
      <c r="AA44" s="130">
        <f t="shared" si="14"/>
        <v>94.444444444444443</v>
      </c>
      <c r="AD44" s="267">
        <f>SUM(C50:H50)</f>
        <v>242570.32265999995</v>
      </c>
      <c r="AE44" s="313">
        <f>SUM(AE28/AE27)*100</f>
        <v>83.72266401590457</v>
      </c>
      <c r="AG44" s="256"/>
      <c r="AH44" s="256"/>
    </row>
    <row r="45" spans="2:37" ht="15" customHeight="1" x14ac:dyDescent="0.2">
      <c r="B45" s="125">
        <v>1818</v>
      </c>
      <c r="C45" s="255">
        <f>SUM('18'!N3)/1000</f>
        <v>2940.01379</v>
      </c>
      <c r="D45" s="255">
        <f>SUM('18'!N4)/1000</f>
        <v>256.48729000000003</v>
      </c>
      <c r="E45" s="255">
        <f>SUM('18'!N5)/1000</f>
        <v>1174.2480700000001</v>
      </c>
      <c r="F45" s="255">
        <f>SUM('18'!N6)/1000</f>
        <v>525.55903000000001</v>
      </c>
      <c r="G45" s="255">
        <f>SUM('18'!N21)/1000</f>
        <v>1950.4238</v>
      </c>
      <c r="H45" s="255">
        <f>SUM('18'!N23)/1000</f>
        <v>846.85596999999996</v>
      </c>
      <c r="I45" s="255">
        <f>SUM('18'!N15)/1000</f>
        <v>139.5</v>
      </c>
      <c r="J45" s="45">
        <v>17</v>
      </c>
      <c r="K45" s="125">
        <v>1818</v>
      </c>
      <c r="L45" s="126">
        <f t="shared" si="13"/>
        <v>17818.265393939393</v>
      </c>
      <c r="M45" s="126">
        <f t="shared" si="13"/>
        <v>12213.680476190479</v>
      </c>
      <c r="N45" s="126">
        <f t="shared" si="13"/>
        <v>12231.750729166668</v>
      </c>
      <c r="O45" s="126">
        <f t="shared" si="13"/>
        <v>23889.046818181818</v>
      </c>
      <c r="P45" s="126">
        <f t="shared" si="13"/>
        <v>33058.030508474578</v>
      </c>
      <c r="Q45" s="126">
        <f t="shared" si="13"/>
        <v>18819.021555555555</v>
      </c>
      <c r="R45" s="126">
        <f t="shared" si="13"/>
        <v>5166.666666666667</v>
      </c>
      <c r="T45" s="125">
        <v>1818</v>
      </c>
      <c r="U45" s="130">
        <f t="shared" si="14"/>
        <v>85.051546391752581</v>
      </c>
      <c r="V45" s="130">
        <f t="shared" si="14"/>
        <v>56.756756756756758</v>
      </c>
      <c r="W45" s="130">
        <f t="shared" si="14"/>
        <v>100</v>
      </c>
      <c r="X45" s="130">
        <f t="shared" si="14"/>
        <v>100</v>
      </c>
      <c r="Y45" s="130">
        <f t="shared" si="14"/>
        <v>96.721311475409834</v>
      </c>
      <c r="Z45" s="130">
        <f t="shared" si="14"/>
        <v>91.83673469387756</v>
      </c>
      <c r="AA45" s="130">
        <f t="shared" si="14"/>
        <v>87.096774193548384</v>
      </c>
      <c r="AD45" s="264">
        <f>SUM(AD24:AI24)</f>
        <v>242570322.65999997</v>
      </c>
      <c r="AE45" s="244"/>
      <c r="AF45" s="100"/>
      <c r="AG45" s="256"/>
      <c r="AH45" s="306"/>
      <c r="AI45" s="268"/>
    </row>
    <row r="46" spans="2:37" x14ac:dyDescent="0.2">
      <c r="B46" s="125">
        <v>1819</v>
      </c>
      <c r="C46" s="255">
        <f>SUM('19'!N3)/1000</f>
        <v>3688.6162899999999</v>
      </c>
      <c r="D46" s="255">
        <f>SUM('19'!N4)/1000</f>
        <v>594.78268999999989</v>
      </c>
      <c r="E46" s="255">
        <f>SUM('19'!N5)/1000</f>
        <v>2334.3198299999999</v>
      </c>
      <c r="F46" s="255">
        <f>SUM('19'!N6)/1000</f>
        <v>3049.26001</v>
      </c>
      <c r="G46" s="255">
        <f>SUM('19'!N21)/1000</f>
        <v>1684.693</v>
      </c>
      <c r="H46" s="255">
        <f>SUM('19'!N23)/1000</f>
        <v>2237.8265999999999</v>
      </c>
      <c r="I46" s="255">
        <f>SUM('19'!N15)/1000</f>
        <v>252</v>
      </c>
      <c r="J46" s="45">
        <v>18</v>
      </c>
      <c r="K46" s="125">
        <v>1819</v>
      </c>
      <c r="L46" s="126">
        <f t="shared" si="13"/>
        <v>15305.461784232366</v>
      </c>
      <c r="M46" s="126">
        <f t="shared" si="13"/>
        <v>13517.788409090908</v>
      </c>
      <c r="N46" s="126">
        <f t="shared" si="13"/>
        <v>17291.258000000002</v>
      </c>
      <c r="O46" s="126">
        <f t="shared" si="13"/>
        <v>26515.304434782607</v>
      </c>
      <c r="P46" s="126">
        <f t="shared" si="13"/>
        <v>35097.770833333336</v>
      </c>
      <c r="Q46" s="126">
        <f t="shared" si="13"/>
        <v>31518.684507042253</v>
      </c>
      <c r="R46" s="126">
        <f t="shared" si="13"/>
        <v>15750</v>
      </c>
      <c r="T46" s="125">
        <v>1819</v>
      </c>
      <c r="U46" s="130">
        <f t="shared" si="14"/>
        <v>84.859154929577457</v>
      </c>
      <c r="V46" s="130">
        <f t="shared" si="14"/>
        <v>63.768115942028977</v>
      </c>
      <c r="W46" s="130">
        <f t="shared" si="14"/>
        <v>100</v>
      </c>
      <c r="X46" s="130">
        <f t="shared" si="14"/>
        <v>98.290598290598282</v>
      </c>
      <c r="Y46" s="130">
        <f t="shared" si="14"/>
        <v>100</v>
      </c>
      <c r="Z46" s="130">
        <f t="shared" si="14"/>
        <v>94.666666666666671</v>
      </c>
      <c r="AA46" s="130">
        <f t="shared" si="14"/>
        <v>88.888888888888886</v>
      </c>
      <c r="AD46" s="220">
        <f>SUM(C24:H24)</f>
        <v>16096</v>
      </c>
      <c r="AE46" s="244"/>
      <c r="AF46" s="227"/>
      <c r="AI46" s="233"/>
    </row>
    <row r="47" spans="2:37" x14ac:dyDescent="0.2">
      <c r="B47" s="252" t="s">
        <v>252</v>
      </c>
      <c r="C47" s="255">
        <f>SUM('20'!N3)/1000</f>
        <v>2376.2450299999996</v>
      </c>
      <c r="D47" s="255">
        <f>SUM('20'!N4)/1000</f>
        <v>153.90579</v>
      </c>
      <c r="E47" s="255">
        <f>SUM('20'!N5)/1000</f>
        <v>948.65384999999992</v>
      </c>
      <c r="F47" s="255">
        <f>SUM('20'!N6)/1000</f>
        <v>3475.4682699999998</v>
      </c>
      <c r="G47" s="255">
        <f>SUM('20'!N21)/1000</f>
        <v>972.46799999999996</v>
      </c>
      <c r="H47" s="255">
        <f>SUM('20'!N23)/1000</f>
        <v>781.88860999999997</v>
      </c>
      <c r="I47" s="255">
        <f>SUM('20'!N15)/1000</f>
        <v>376</v>
      </c>
      <c r="J47" s="45">
        <v>19</v>
      </c>
      <c r="K47" s="252" t="s">
        <v>252</v>
      </c>
      <c r="L47" s="126">
        <f t="shared" si="13"/>
        <v>15039.525506329113</v>
      </c>
      <c r="M47" s="126">
        <f t="shared" si="13"/>
        <v>19238.223750000001</v>
      </c>
      <c r="N47" s="126">
        <f t="shared" si="13"/>
        <v>10424.767582417582</v>
      </c>
      <c r="O47" s="126">
        <f t="shared" si="13"/>
        <v>21996.634620253164</v>
      </c>
      <c r="P47" s="126">
        <f t="shared" si="13"/>
        <v>24311.7</v>
      </c>
      <c r="Q47" s="126">
        <f t="shared" si="13"/>
        <v>27924.593214285713</v>
      </c>
      <c r="R47" s="126">
        <f t="shared" si="13"/>
        <v>9894.7368421052633</v>
      </c>
      <c r="T47" s="252" t="s">
        <v>252</v>
      </c>
      <c r="U47" s="130">
        <f t="shared" si="14"/>
        <v>84.491978609625676</v>
      </c>
      <c r="V47" s="130">
        <f t="shared" si="14"/>
        <v>44.444444444444443</v>
      </c>
      <c r="W47" s="130">
        <f t="shared" si="14"/>
        <v>97.849462365591393</v>
      </c>
      <c r="X47" s="130">
        <f t="shared" si="14"/>
        <v>99.371069182389931</v>
      </c>
      <c r="Y47" s="130">
        <f t="shared" si="14"/>
        <v>97.560975609756099</v>
      </c>
      <c r="Z47" s="130">
        <f t="shared" si="14"/>
        <v>100</v>
      </c>
      <c r="AA47" s="130">
        <f t="shared" si="14"/>
        <v>100</v>
      </c>
      <c r="AD47" s="266">
        <f>SUM(AD45/AD46)</f>
        <v>15070.223823310138</v>
      </c>
      <c r="AE47" s="244"/>
      <c r="AF47" s="227"/>
      <c r="AG47" s="233"/>
      <c r="AH47" s="227"/>
      <c r="AI47" s="233"/>
    </row>
    <row r="48" spans="2:37" x14ac:dyDescent="0.2">
      <c r="B48" s="125">
        <v>1821</v>
      </c>
      <c r="C48" s="255">
        <f>SUM('21'!N3)/1000</f>
        <v>1728.8520000000001</v>
      </c>
      <c r="D48" s="255">
        <f>SUM('21'!N4)/1000</f>
        <v>140.02038000000002</v>
      </c>
      <c r="E48" s="255">
        <f>SUM('21'!N5)/1000</f>
        <v>538.03498999999999</v>
      </c>
      <c r="F48" s="255">
        <f>SUM('21'!N6)/1000</f>
        <v>1021.10702</v>
      </c>
      <c r="G48" s="255">
        <f>SUM('21'!N21)/1000</f>
        <v>1977.36501</v>
      </c>
      <c r="H48" s="255">
        <f>SUM('21'!N23)/1000</f>
        <v>1075.25604</v>
      </c>
      <c r="I48" s="255">
        <f>SUM('21'!N15)/1000</f>
        <v>658</v>
      </c>
      <c r="J48" s="45">
        <v>20</v>
      </c>
      <c r="K48" s="125">
        <v>1821</v>
      </c>
      <c r="L48" s="126">
        <f t="shared" si="13"/>
        <v>18791.869565217392</v>
      </c>
      <c r="M48" s="126">
        <f t="shared" si="13"/>
        <v>17502.547500000001</v>
      </c>
      <c r="N48" s="126">
        <f t="shared" si="13"/>
        <v>15372.428285714286</v>
      </c>
      <c r="O48" s="126">
        <f t="shared" si="13"/>
        <v>31909.594375000001</v>
      </c>
      <c r="P48" s="126">
        <f t="shared" si="13"/>
        <v>33514.66118644068</v>
      </c>
      <c r="Q48" s="126">
        <f t="shared" si="13"/>
        <v>34685.678709677421</v>
      </c>
      <c r="R48" s="126">
        <f t="shared" si="13"/>
        <v>19352.941176470587</v>
      </c>
      <c r="T48" s="125">
        <v>1821</v>
      </c>
      <c r="U48" s="130">
        <f t="shared" si="14"/>
        <v>88.461538461538453</v>
      </c>
      <c r="V48" s="130">
        <f t="shared" si="14"/>
        <v>61.53846153846154</v>
      </c>
      <c r="W48" s="130">
        <f t="shared" si="14"/>
        <v>89.743589743589752</v>
      </c>
      <c r="X48" s="130">
        <f t="shared" si="14"/>
        <v>96.969696969696969</v>
      </c>
      <c r="Y48" s="130">
        <f t="shared" si="14"/>
        <v>92.1875</v>
      </c>
      <c r="Z48" s="130">
        <f t="shared" si="14"/>
        <v>100</v>
      </c>
      <c r="AA48" s="130">
        <f t="shared" si="14"/>
        <v>77.272727272727266</v>
      </c>
      <c r="AD48" s="100"/>
      <c r="AF48" s="227"/>
      <c r="AG48" s="233"/>
      <c r="AH48" s="227"/>
      <c r="AI48" s="233"/>
    </row>
    <row r="49" spans="2:35" x14ac:dyDescent="0.2">
      <c r="B49" s="252" t="s">
        <v>254</v>
      </c>
      <c r="C49" s="255">
        <f>SUM('62'!N3)/1000</f>
        <v>2513.7265000000002</v>
      </c>
      <c r="D49" s="255">
        <f>SUM('62'!N4)/1000</f>
        <v>303.70279999999997</v>
      </c>
      <c r="E49" s="255">
        <f>SUM('62'!N5)/1000</f>
        <v>4101.6388999999999</v>
      </c>
      <c r="F49" s="255">
        <f>SUM('62'!N6)/1000</f>
        <v>1947.9293300000002</v>
      </c>
      <c r="G49" s="255">
        <f>SUM('62'!N21)/1000</f>
        <v>4308.4207200000001</v>
      </c>
      <c r="H49" s="255">
        <f>SUM('62'!N23)/1000</f>
        <v>3666.6648500000001</v>
      </c>
      <c r="I49" s="255">
        <f>SUM('62'!N15)/1000</f>
        <v>1224</v>
      </c>
      <c r="J49" s="45">
        <v>21</v>
      </c>
      <c r="K49" s="252" t="s">
        <v>254</v>
      </c>
      <c r="L49" s="126">
        <f t="shared" si="13"/>
        <v>20774.599173553717</v>
      </c>
      <c r="M49" s="126">
        <f t="shared" si="13"/>
        <v>15984.357894736842</v>
      </c>
      <c r="N49" s="126">
        <f t="shared" si="13"/>
        <v>15361.943445692883</v>
      </c>
      <c r="O49" s="126">
        <f t="shared" si="13"/>
        <v>28646.019558823529</v>
      </c>
      <c r="P49" s="126">
        <f t="shared" si="13"/>
        <v>30128.816223776223</v>
      </c>
      <c r="Q49" s="126">
        <f t="shared" si="13"/>
        <v>44715.425000000003</v>
      </c>
      <c r="R49" s="126">
        <f t="shared" si="13"/>
        <v>11547.169811320755</v>
      </c>
      <c r="T49" s="252" t="s">
        <v>254</v>
      </c>
      <c r="U49" s="130">
        <f t="shared" si="14"/>
        <v>89.629629629629619</v>
      </c>
      <c r="V49" s="130">
        <f t="shared" si="14"/>
        <v>65.517241379310349</v>
      </c>
      <c r="W49" s="130">
        <f t="shared" si="14"/>
        <v>98.888888888888886</v>
      </c>
      <c r="X49" s="130">
        <f t="shared" si="14"/>
        <v>94.444444444444443</v>
      </c>
      <c r="Y49" s="130">
        <f t="shared" si="14"/>
        <v>94.078947368421055</v>
      </c>
      <c r="Z49" s="130">
        <f t="shared" si="14"/>
        <v>92.134831460674164</v>
      </c>
      <c r="AA49" s="130">
        <f t="shared" si="14"/>
        <v>56.684491978609628</v>
      </c>
      <c r="AF49" s="227"/>
      <c r="AG49" s="233"/>
      <c r="AH49" s="227"/>
      <c r="AI49" s="233"/>
    </row>
    <row r="50" spans="2:35" x14ac:dyDescent="0.2">
      <c r="B50" s="249" t="s">
        <v>128</v>
      </c>
      <c r="C50" s="258">
        <f>SUM(C27:C49)</f>
        <v>67134.324789999999</v>
      </c>
      <c r="D50" s="258">
        <f t="shared" ref="D50" si="15">SUM(D27:D49)</f>
        <v>6665.2149499999996</v>
      </c>
      <c r="E50" s="258">
        <f>SUM(E27:E49)</f>
        <v>33670.706749999998</v>
      </c>
      <c r="F50" s="258">
        <f>SUM(F27:F49)</f>
        <v>29865.365469999997</v>
      </c>
      <c r="G50" s="258">
        <f>SUM(G27:G49)</f>
        <v>60856.502309999996</v>
      </c>
      <c r="H50" s="258">
        <f>SUM(H27:H49)</f>
        <v>44378.208389999993</v>
      </c>
      <c r="I50" s="258">
        <f>SUM(I27:I49)</f>
        <v>9519.6675599999999</v>
      </c>
      <c r="J50" s="200"/>
      <c r="K50" s="249" t="s">
        <v>128</v>
      </c>
      <c r="L50" s="259">
        <f t="shared" si="13"/>
        <v>18392.965695890409</v>
      </c>
      <c r="M50" s="259">
        <f t="shared" si="13"/>
        <v>10098.81053030303</v>
      </c>
      <c r="N50" s="259">
        <f t="shared" si="13"/>
        <v>12347.160524385772</v>
      </c>
      <c r="O50" s="259">
        <f t="shared" si="13"/>
        <v>22106.118038490007</v>
      </c>
      <c r="P50" s="259">
        <f t="shared" si="13"/>
        <v>34538.310051078319</v>
      </c>
      <c r="Q50" s="259">
        <f t="shared" si="13"/>
        <v>30333.703615857823</v>
      </c>
      <c r="R50" s="259">
        <f t="shared" si="13"/>
        <v>12881.823491204332</v>
      </c>
      <c r="S50" s="200"/>
      <c r="T50" s="249" t="s">
        <v>128</v>
      </c>
      <c r="U50" s="260">
        <f t="shared" si="14"/>
        <v>82.448610797379715</v>
      </c>
      <c r="V50" s="259">
        <f t="shared" si="14"/>
        <v>51.242236024844722</v>
      </c>
      <c r="W50" s="259">
        <f t="shared" si="14"/>
        <v>93.262653898768804</v>
      </c>
      <c r="X50" s="259">
        <f t="shared" si="14"/>
        <v>96.568977841315231</v>
      </c>
      <c r="Y50" s="259">
        <f t="shared" si="14"/>
        <v>97.348066298342545</v>
      </c>
      <c r="Z50" s="259">
        <f t="shared" si="14"/>
        <v>89.86486486486487</v>
      </c>
      <c r="AA50" s="259">
        <f t="shared" si="14"/>
        <v>82.754759238521842</v>
      </c>
      <c r="AF50" s="227"/>
      <c r="AG50" s="233"/>
      <c r="AH50" s="227"/>
      <c r="AI50" s="233"/>
    </row>
    <row r="51" spans="2:35" ht="12" customHeight="1" x14ac:dyDescent="0.2">
      <c r="K51" s="44" t="s">
        <v>325</v>
      </c>
      <c r="AF51" s="227"/>
      <c r="AG51" s="233"/>
      <c r="AH51" s="227"/>
      <c r="AI51" s="233"/>
    </row>
    <row r="52" spans="2:35" x14ac:dyDescent="0.2">
      <c r="B52" s="206">
        <f>SUM(C24:H24)</f>
        <v>16096</v>
      </c>
      <c r="K52" s="207">
        <f>SUM(C50:H50)</f>
        <v>242570.32265999995</v>
      </c>
      <c r="L52" s="200">
        <f>SUM(C24:H24)</f>
        <v>16096</v>
      </c>
      <c r="M52" s="200">
        <f>SUM(L24:Q24)</f>
        <v>13476</v>
      </c>
      <c r="N52" s="200">
        <f>SUM(U24:Z24)</f>
        <v>11613</v>
      </c>
      <c r="O52" s="200">
        <f>SUM(L24:Q24)</f>
        <v>13476</v>
      </c>
      <c r="AF52" s="100"/>
      <c r="AG52" s="233"/>
      <c r="AH52" s="100"/>
      <c r="AI52" s="233"/>
    </row>
    <row r="53" spans="2:35" x14ac:dyDescent="0.2">
      <c r="M53" s="94">
        <f>SUM(M52/L52)*100</f>
        <v>83.72266401590457</v>
      </c>
      <c r="N53" s="200">
        <f>SUM(U24:Z24)</f>
        <v>11613</v>
      </c>
      <c r="O53" s="205"/>
      <c r="AF53" s="100"/>
      <c r="AH53" s="100"/>
      <c r="AI53" s="100"/>
    </row>
    <row r="54" spans="2:35" x14ac:dyDescent="0.2">
      <c r="O54" s="205"/>
    </row>
    <row r="61" spans="2:35" ht="16.5" customHeight="1" x14ac:dyDescent="0.2"/>
    <row r="80" spans="3:9" x14ac:dyDescent="0.2">
      <c r="C80" s="94"/>
      <c r="D80" s="94"/>
      <c r="E80" s="94"/>
      <c r="F80" s="94"/>
      <c r="G80" s="94"/>
      <c r="H80" s="94"/>
      <c r="I80" s="94"/>
    </row>
  </sheetData>
  <mergeCells count="7">
    <mergeCell ref="AE40:AH40"/>
    <mergeCell ref="AE34:AH34"/>
    <mergeCell ref="AE35:AH35"/>
    <mergeCell ref="AE36:AH36"/>
    <mergeCell ref="AE37:AH37"/>
    <mergeCell ref="AE38:AH38"/>
    <mergeCell ref="AE39:AH39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Arkusz24">
    <tabColor theme="0" tint="-0.14999847407452621"/>
    <pageSetUpPr fitToPage="1"/>
  </sheetPr>
  <dimension ref="A1:AK80"/>
  <sheetViews>
    <sheetView zoomScale="70" zoomScaleNormal="70" workbookViewId="0">
      <selection activeCell="B1" sqref="B1"/>
    </sheetView>
  </sheetViews>
  <sheetFormatPr defaultRowHeight="14.25" x14ac:dyDescent="0.2"/>
  <cols>
    <col min="1" max="1" width="4.42578125" style="45" customWidth="1"/>
    <col min="2" max="2" width="9.42578125" style="44" customWidth="1"/>
    <col min="3" max="3" width="13.7109375" style="44" customWidth="1"/>
    <col min="4" max="4" width="12.5703125" style="44" customWidth="1"/>
    <col min="5" max="5" width="15.5703125" style="44" customWidth="1"/>
    <col min="6" max="6" width="14.7109375" style="44" customWidth="1"/>
    <col min="7" max="7" width="14.85546875" style="44" customWidth="1"/>
    <col min="8" max="8" width="14.28515625" style="44" customWidth="1"/>
    <col min="9" max="9" width="13.5703125" style="44" customWidth="1"/>
    <col min="10" max="10" width="4.140625" style="45" customWidth="1"/>
    <col min="11" max="11" width="11.28515625" style="44" customWidth="1"/>
    <col min="12" max="12" width="13.140625" style="44" customWidth="1"/>
    <col min="13" max="13" width="13" style="44" customWidth="1"/>
    <col min="14" max="14" width="12.85546875" style="44" customWidth="1"/>
    <col min="15" max="15" width="14" style="44" customWidth="1"/>
    <col min="16" max="16" width="13.85546875" style="44" customWidth="1"/>
    <col min="17" max="17" width="13.28515625" style="44" customWidth="1"/>
    <col min="18" max="18" width="12.5703125" style="44" customWidth="1"/>
    <col min="19" max="19" width="2.42578125" style="44" customWidth="1"/>
    <col min="20" max="20" width="8.85546875" style="44" customWidth="1"/>
    <col min="21" max="22" width="8.42578125" style="44" customWidth="1"/>
    <col min="23" max="23" width="9.140625" style="44" customWidth="1"/>
    <col min="24" max="24" width="10.7109375" style="44" customWidth="1"/>
    <col min="25" max="25" width="11.140625" style="44" customWidth="1"/>
    <col min="26" max="26" width="12.140625" style="44" customWidth="1"/>
    <col min="27" max="27" width="12.7109375" style="44" customWidth="1"/>
    <col min="28" max="28" width="3.28515625" style="44" customWidth="1"/>
    <col min="29" max="29" width="8.140625" style="45" customWidth="1"/>
    <col min="30" max="30" width="18" style="44" customWidth="1"/>
    <col min="31" max="31" width="15.42578125" style="44" customWidth="1"/>
    <col min="32" max="32" width="16.28515625" style="44" customWidth="1"/>
    <col min="33" max="33" width="15.140625" style="44" customWidth="1"/>
    <col min="34" max="34" width="15.28515625" style="44" customWidth="1"/>
    <col min="35" max="35" width="17.140625" style="44" customWidth="1"/>
    <col min="36" max="36" width="16" style="44" customWidth="1"/>
    <col min="37" max="16384" width="9.140625" style="44"/>
  </cols>
  <sheetData>
    <row r="1" spans="1:36" x14ac:dyDescent="0.2">
      <c r="B1" s="44" t="s">
        <v>450</v>
      </c>
      <c r="K1" s="44" t="s">
        <v>455</v>
      </c>
      <c r="T1" s="44" t="s">
        <v>451</v>
      </c>
      <c r="AC1" s="44" t="s">
        <v>458</v>
      </c>
    </row>
    <row r="2" spans="1:36" x14ac:dyDescent="0.2">
      <c r="B2" s="550"/>
      <c r="C2" s="249" t="s">
        <v>127</v>
      </c>
      <c r="D2" s="249" t="s">
        <v>126</v>
      </c>
      <c r="E2" s="249" t="s">
        <v>129</v>
      </c>
      <c r="F2" s="249" t="s">
        <v>130</v>
      </c>
      <c r="G2" s="304" t="s">
        <v>132</v>
      </c>
      <c r="H2" s="249" t="s">
        <v>131</v>
      </c>
      <c r="I2" s="249" t="s">
        <v>274</v>
      </c>
      <c r="K2" s="549"/>
      <c r="L2" s="249" t="s">
        <v>127</v>
      </c>
      <c r="M2" s="249" t="s">
        <v>126</v>
      </c>
      <c r="N2" s="249" t="s">
        <v>129</v>
      </c>
      <c r="O2" s="249" t="s">
        <v>130</v>
      </c>
      <c r="P2" s="304" t="s">
        <v>132</v>
      </c>
      <c r="Q2" s="249" t="s">
        <v>131</v>
      </c>
      <c r="R2" s="249" t="s">
        <v>274</v>
      </c>
      <c r="T2" s="550"/>
      <c r="U2" s="249" t="s">
        <v>127</v>
      </c>
      <c r="V2" s="249" t="s">
        <v>126</v>
      </c>
      <c r="W2" s="249" t="s">
        <v>129</v>
      </c>
      <c r="X2" s="249" t="s">
        <v>130</v>
      </c>
      <c r="Y2" s="304" t="s">
        <v>132</v>
      </c>
      <c r="Z2" s="304" t="s">
        <v>131</v>
      </c>
      <c r="AA2" s="249" t="s">
        <v>274</v>
      </c>
      <c r="AC2" s="550"/>
      <c r="AD2" s="302" t="s">
        <v>127</v>
      </c>
      <c r="AE2" s="302" t="s">
        <v>126</v>
      </c>
      <c r="AF2" s="302" t="s">
        <v>129</v>
      </c>
      <c r="AG2" s="302" t="s">
        <v>130</v>
      </c>
      <c r="AH2" s="302" t="s">
        <v>132</v>
      </c>
      <c r="AI2" s="302" t="s">
        <v>131</v>
      </c>
      <c r="AJ2" s="302" t="s">
        <v>274</v>
      </c>
    </row>
    <row r="3" spans="1:36" x14ac:dyDescent="0.2">
      <c r="A3" s="45">
        <v>1</v>
      </c>
      <c r="B3" s="125">
        <v>1801</v>
      </c>
      <c r="C3" s="125">
        <f>SUM('01'!F3)</f>
        <v>0</v>
      </c>
      <c r="D3" s="125">
        <f>SUM('01'!F4)</f>
        <v>0</v>
      </c>
      <c r="E3" s="125">
        <f>SUM('01'!F5)</f>
        <v>0</v>
      </c>
      <c r="F3" s="125">
        <f>SUM('01'!F6)</f>
        <v>0</v>
      </c>
      <c r="G3" s="129">
        <f>SUM('01'!F21)</f>
        <v>0</v>
      </c>
      <c r="H3" s="129">
        <f>SUM('01'!F23)</f>
        <v>0</v>
      </c>
      <c r="I3" s="125">
        <f>SUM('01'!F15)</f>
        <v>0</v>
      </c>
      <c r="K3" s="125">
        <v>1801</v>
      </c>
      <c r="L3" s="125">
        <f>SUM('01'!G3)</f>
        <v>0</v>
      </c>
      <c r="M3" s="125">
        <f>SUM('01'!G4)</f>
        <v>0</v>
      </c>
      <c r="N3" s="125">
        <f>SUM('01'!G5)</f>
        <v>0</v>
      </c>
      <c r="O3" s="125">
        <f>SUM('01'!G6)</f>
        <v>0</v>
      </c>
      <c r="P3" s="129">
        <f>SUM('01'!G21)</f>
        <v>0</v>
      </c>
      <c r="Q3" s="129">
        <f>SUM('01'!G23)</f>
        <v>0</v>
      </c>
      <c r="R3" s="125">
        <f>SUM('01'!G15)</f>
        <v>0</v>
      </c>
      <c r="T3" s="125">
        <v>1801</v>
      </c>
      <c r="U3" s="125">
        <f>SUM('01'!H3)</f>
        <v>0</v>
      </c>
      <c r="V3" s="125">
        <f>SUM('01'!H4)</f>
        <v>0</v>
      </c>
      <c r="W3" s="125">
        <f>SUM('01'!H5)</f>
        <v>0</v>
      </c>
      <c r="X3" s="125">
        <f>SUM('01'!H6)</f>
        <v>0</v>
      </c>
      <c r="Y3" s="129">
        <f>SUM('01'!H21)</f>
        <v>0</v>
      </c>
      <c r="Z3" s="129">
        <f>SUM('01'!H23)</f>
        <v>0</v>
      </c>
      <c r="AA3" s="125">
        <f>SUM('01'!H15)</f>
        <v>0</v>
      </c>
      <c r="AC3" s="125">
        <v>1801</v>
      </c>
      <c r="AD3" s="127">
        <f>SUM(C27)*1000</f>
        <v>0</v>
      </c>
      <c r="AE3" s="127">
        <f t="shared" ref="AD3:AJ9" si="0">SUM(D27)*1000</f>
        <v>0</v>
      </c>
      <c r="AF3" s="127">
        <f t="shared" si="0"/>
        <v>0</v>
      </c>
      <c r="AG3" s="127">
        <f t="shared" si="0"/>
        <v>0</v>
      </c>
      <c r="AH3" s="127">
        <f>SUM(G27)*1000</f>
        <v>0</v>
      </c>
      <c r="AI3" s="127">
        <f>SUM(H27)*1000</f>
        <v>0</v>
      </c>
      <c r="AJ3" s="127">
        <f t="shared" si="0"/>
        <v>0</v>
      </c>
    </row>
    <row r="4" spans="1:36" x14ac:dyDescent="0.2">
      <c r="A4" s="45">
        <v>2</v>
      </c>
      <c r="B4" s="125">
        <v>1802</v>
      </c>
      <c r="C4" s="125">
        <f>SUM('02'!F3)</f>
        <v>0</v>
      </c>
      <c r="D4" s="125">
        <f>SUM('02'!F4)</f>
        <v>0</v>
      </c>
      <c r="E4" s="125">
        <f>SUM('02'!F5)</f>
        <v>0</v>
      </c>
      <c r="F4" s="125">
        <f>SUM('02'!F6)</f>
        <v>0</v>
      </c>
      <c r="G4" s="129">
        <f>SUM('02'!F21)</f>
        <v>0</v>
      </c>
      <c r="H4" s="129">
        <f>SUM('02'!F23)</f>
        <v>0</v>
      </c>
      <c r="I4" s="125">
        <f>SUM('02'!F15)</f>
        <v>0</v>
      </c>
      <c r="K4" s="125">
        <v>1802</v>
      </c>
      <c r="L4" s="125">
        <f>SUM('02'!G3)</f>
        <v>0</v>
      </c>
      <c r="M4" s="125">
        <f>SUM('02'!G4)</f>
        <v>0</v>
      </c>
      <c r="N4" s="125">
        <f>SUM('02'!G5)</f>
        <v>0</v>
      </c>
      <c r="O4" s="125">
        <f>SUM('02'!G6)</f>
        <v>0</v>
      </c>
      <c r="P4" s="129">
        <f>SUM('02'!G21)</f>
        <v>0</v>
      </c>
      <c r="Q4" s="129">
        <f>SUM('02'!G23)</f>
        <v>0</v>
      </c>
      <c r="R4" s="125">
        <f>SUM('02'!G15)</f>
        <v>0</v>
      </c>
      <c r="T4" s="125">
        <v>1802</v>
      </c>
      <c r="U4" s="125">
        <f>SUM('02'!H3)</f>
        <v>0</v>
      </c>
      <c r="V4" s="125">
        <f>SUM('02'!H4)</f>
        <v>0</v>
      </c>
      <c r="W4" s="125">
        <f>SUM('02'!H5)</f>
        <v>0</v>
      </c>
      <c r="X4" s="125">
        <f>SUM('02'!H6)</f>
        <v>0</v>
      </c>
      <c r="Y4" s="129">
        <f>SUM('02'!H21)</f>
        <v>0</v>
      </c>
      <c r="Z4" s="129">
        <f>SUM('02'!H23)</f>
        <v>0</v>
      </c>
      <c r="AA4" s="125">
        <f>SUM('02'!H15)</f>
        <v>0</v>
      </c>
      <c r="AC4" s="125">
        <v>1802</v>
      </c>
      <c r="AD4" s="127">
        <f t="shared" si="0"/>
        <v>0</v>
      </c>
      <c r="AE4" s="127">
        <f t="shared" si="0"/>
        <v>0</v>
      </c>
      <c r="AF4" s="127">
        <f t="shared" si="0"/>
        <v>0</v>
      </c>
      <c r="AG4" s="127">
        <f t="shared" si="0"/>
        <v>0</v>
      </c>
      <c r="AH4" s="127">
        <f t="shared" si="0"/>
        <v>0</v>
      </c>
      <c r="AI4" s="127">
        <f t="shared" si="0"/>
        <v>0</v>
      </c>
      <c r="AJ4" s="127">
        <f t="shared" si="0"/>
        <v>0</v>
      </c>
    </row>
    <row r="5" spans="1:36" x14ac:dyDescent="0.2">
      <c r="A5" s="45">
        <v>3</v>
      </c>
      <c r="B5" s="125">
        <v>1803</v>
      </c>
      <c r="C5" s="125">
        <f>SUM('03'!F3)</f>
        <v>0</v>
      </c>
      <c r="D5" s="125">
        <f>SUM('03'!F4)</f>
        <v>0</v>
      </c>
      <c r="E5" s="125">
        <f>SUM('03'!F5)</f>
        <v>0</v>
      </c>
      <c r="F5" s="125">
        <f>SUM('03'!F6)</f>
        <v>0</v>
      </c>
      <c r="G5" s="129">
        <f>SUM('03'!F21)</f>
        <v>0</v>
      </c>
      <c r="H5" s="129">
        <f>SUM('03'!F23)</f>
        <v>0</v>
      </c>
      <c r="I5" s="125">
        <f>SUM('03'!F15)</f>
        <v>0</v>
      </c>
      <c r="K5" s="125">
        <v>1803</v>
      </c>
      <c r="L5" s="125">
        <f>SUM('03'!G3)</f>
        <v>0</v>
      </c>
      <c r="M5" s="125">
        <f>SUM('03'!G4)</f>
        <v>0</v>
      </c>
      <c r="N5" s="125">
        <f>SUM('03'!G5)</f>
        <v>0</v>
      </c>
      <c r="O5" s="125">
        <f>SUM('03'!G6)</f>
        <v>0</v>
      </c>
      <c r="P5" s="129">
        <f>SUM('03'!G21)</f>
        <v>0</v>
      </c>
      <c r="Q5" s="129">
        <f>SUM('03'!G23)</f>
        <v>0</v>
      </c>
      <c r="R5" s="125">
        <f>SUM('03'!G15)</f>
        <v>0</v>
      </c>
      <c r="T5" s="125">
        <v>1803</v>
      </c>
      <c r="U5" s="125">
        <f>SUM('03'!H3)</f>
        <v>0</v>
      </c>
      <c r="V5" s="125">
        <f>SUM('03'!H4)</f>
        <v>0</v>
      </c>
      <c r="W5" s="125">
        <f>SUM('03'!H5)</f>
        <v>0</v>
      </c>
      <c r="X5" s="125">
        <f>SUM('03'!H6)</f>
        <v>0</v>
      </c>
      <c r="Y5" s="129">
        <f>SUM('03'!H21)</f>
        <v>0</v>
      </c>
      <c r="Z5" s="129">
        <f>SUM('03'!H23)</f>
        <v>0</v>
      </c>
      <c r="AA5" s="125">
        <f>SUM('03'!H15)</f>
        <v>0</v>
      </c>
      <c r="AC5" s="125">
        <v>1803</v>
      </c>
      <c r="AD5" s="127">
        <f t="shared" si="0"/>
        <v>0</v>
      </c>
      <c r="AE5" s="127">
        <f t="shared" si="0"/>
        <v>0</v>
      </c>
      <c r="AF5" s="127">
        <f t="shared" si="0"/>
        <v>0</v>
      </c>
      <c r="AG5" s="127">
        <f t="shared" si="0"/>
        <v>0</v>
      </c>
      <c r="AH5" s="127">
        <f t="shared" si="0"/>
        <v>0</v>
      </c>
      <c r="AI5" s="127">
        <f t="shared" si="0"/>
        <v>0</v>
      </c>
      <c r="AJ5" s="127">
        <f t="shared" si="0"/>
        <v>0</v>
      </c>
    </row>
    <row r="6" spans="1:36" x14ac:dyDescent="0.2">
      <c r="A6" s="45">
        <v>4</v>
      </c>
      <c r="B6" s="125">
        <v>1804</v>
      </c>
      <c r="C6" s="125">
        <f>SUM('04'!F3)</f>
        <v>0</v>
      </c>
      <c r="D6" s="125">
        <f>SUM('04'!F4)</f>
        <v>0</v>
      </c>
      <c r="E6" s="125">
        <f>SUM('04'!F5)</f>
        <v>0</v>
      </c>
      <c r="F6" s="125">
        <f>SUM('04'!F6)</f>
        <v>0</v>
      </c>
      <c r="G6" s="129">
        <f>SUM('04'!F21)</f>
        <v>0</v>
      </c>
      <c r="H6" s="129">
        <f>SUM('04'!F23)</f>
        <v>0</v>
      </c>
      <c r="I6" s="125">
        <f>SUM('04'!F15)</f>
        <v>0</v>
      </c>
      <c r="K6" s="125">
        <v>1804</v>
      </c>
      <c r="L6" s="125">
        <f>SUM('04'!G3)</f>
        <v>0</v>
      </c>
      <c r="M6" s="125">
        <f>SUM('04'!G4)</f>
        <v>0</v>
      </c>
      <c r="N6" s="125">
        <f>SUM('04'!G5)</f>
        <v>0</v>
      </c>
      <c r="O6" s="125">
        <f>SUM('04'!G6)</f>
        <v>0</v>
      </c>
      <c r="P6" s="129">
        <f>SUM('04'!G21)</f>
        <v>0</v>
      </c>
      <c r="Q6" s="129">
        <f>SUM('04'!G23)</f>
        <v>0</v>
      </c>
      <c r="R6" s="125">
        <f>SUM('04'!G15)</f>
        <v>0</v>
      </c>
      <c r="T6" s="125">
        <v>1804</v>
      </c>
      <c r="U6" s="125">
        <f>SUM('04'!H3)</f>
        <v>0</v>
      </c>
      <c r="V6" s="125">
        <f>SUM('04'!H4)</f>
        <v>0</v>
      </c>
      <c r="W6" s="125">
        <f>SUM('04'!H5)</f>
        <v>0</v>
      </c>
      <c r="X6" s="125">
        <f>SUM('04'!H6)</f>
        <v>0</v>
      </c>
      <c r="Y6" s="129">
        <f>SUM('04'!H21)</f>
        <v>0</v>
      </c>
      <c r="Z6" s="129">
        <f>SUM('04'!H23)</f>
        <v>0</v>
      </c>
      <c r="AA6" s="125">
        <f>SUM('04'!H15)</f>
        <v>0</v>
      </c>
      <c r="AC6" s="125">
        <v>1804</v>
      </c>
      <c r="AD6" s="127">
        <f t="shared" si="0"/>
        <v>0</v>
      </c>
      <c r="AE6" s="127">
        <f t="shared" si="0"/>
        <v>0</v>
      </c>
      <c r="AF6" s="127">
        <f t="shared" si="0"/>
        <v>0</v>
      </c>
      <c r="AG6" s="127">
        <f t="shared" si="0"/>
        <v>0</v>
      </c>
      <c r="AH6" s="127">
        <f t="shared" si="0"/>
        <v>0</v>
      </c>
      <c r="AI6" s="127">
        <f t="shared" si="0"/>
        <v>0</v>
      </c>
      <c r="AJ6" s="127">
        <f t="shared" si="0"/>
        <v>0</v>
      </c>
    </row>
    <row r="7" spans="1:36" x14ac:dyDescent="0.2">
      <c r="A7" s="45">
        <v>5</v>
      </c>
      <c r="B7" s="125">
        <v>1805</v>
      </c>
      <c r="C7" s="125">
        <f>SUM('05'!F3)</f>
        <v>0</v>
      </c>
      <c r="D7" s="125">
        <f>SUM('05'!F4)</f>
        <v>0</v>
      </c>
      <c r="E7" s="125">
        <f>SUM('05'!F5)</f>
        <v>0</v>
      </c>
      <c r="F7" s="250">
        <f>SUM('05'!F6)</f>
        <v>0</v>
      </c>
      <c r="G7" s="129">
        <f>SUM('05'!F21)</f>
        <v>0</v>
      </c>
      <c r="H7" s="129">
        <f>SUM('05'!F23)</f>
        <v>0</v>
      </c>
      <c r="I7" s="125">
        <f>SUM('05'!F15)</f>
        <v>0</v>
      </c>
      <c r="K7" s="125">
        <v>1805</v>
      </c>
      <c r="L7" s="125">
        <f>SUM('05'!G3)</f>
        <v>0</v>
      </c>
      <c r="M7" s="125">
        <f>SUM('05'!G4)</f>
        <v>0</v>
      </c>
      <c r="N7" s="125">
        <f>SUM('05'!G5)</f>
        <v>0</v>
      </c>
      <c r="O7" s="125">
        <f>SUM('05'!G6)</f>
        <v>0</v>
      </c>
      <c r="P7" s="129">
        <f>SUM('05'!G21)</f>
        <v>0</v>
      </c>
      <c r="Q7" s="129">
        <f>SUM('05'!G23)</f>
        <v>0</v>
      </c>
      <c r="R7" s="125">
        <f>SUM('05'!G15)</f>
        <v>0</v>
      </c>
      <c r="T7" s="125">
        <v>1805</v>
      </c>
      <c r="U7" s="125">
        <f>SUM('05'!H3)</f>
        <v>0</v>
      </c>
      <c r="V7" s="125">
        <f>SUM('05'!H4)</f>
        <v>0</v>
      </c>
      <c r="W7" s="125">
        <f>SUM('05'!H5)</f>
        <v>0</v>
      </c>
      <c r="X7" s="125">
        <f>SUM('05'!H6)</f>
        <v>0</v>
      </c>
      <c r="Y7" s="129">
        <f>SUM('05'!H21)</f>
        <v>0</v>
      </c>
      <c r="Z7" s="129">
        <f>SUM('05'!H23)</f>
        <v>0</v>
      </c>
      <c r="AA7" s="125">
        <f>SUM('05'!H15)</f>
        <v>0</v>
      </c>
      <c r="AC7" s="125">
        <v>1805</v>
      </c>
      <c r="AD7" s="127">
        <f t="shared" si="0"/>
        <v>0</v>
      </c>
      <c r="AE7" s="127">
        <f t="shared" si="0"/>
        <v>0</v>
      </c>
      <c r="AF7" s="127">
        <f t="shared" si="0"/>
        <v>0</v>
      </c>
      <c r="AG7" s="251">
        <f t="shared" si="0"/>
        <v>0</v>
      </c>
      <c r="AH7" s="127">
        <f t="shared" si="0"/>
        <v>0</v>
      </c>
      <c r="AI7" s="127">
        <f t="shared" si="0"/>
        <v>0</v>
      </c>
      <c r="AJ7" s="127">
        <f t="shared" si="0"/>
        <v>0</v>
      </c>
    </row>
    <row r="8" spans="1:36" x14ac:dyDescent="0.2">
      <c r="A8" s="45">
        <v>6</v>
      </c>
      <c r="B8" s="125">
        <v>1806</v>
      </c>
      <c r="C8" s="125">
        <f>SUM('06'!F3)</f>
        <v>0</v>
      </c>
      <c r="D8" s="125">
        <f>SUM('06'!F4)</f>
        <v>0</v>
      </c>
      <c r="E8" s="125">
        <f>SUM('06'!F5)</f>
        <v>0</v>
      </c>
      <c r="F8" s="125">
        <f>SUM('06'!F6)</f>
        <v>0</v>
      </c>
      <c r="G8" s="129">
        <f>SUM('06'!F21)</f>
        <v>0</v>
      </c>
      <c r="H8" s="129">
        <f>SUM('06'!F23)</f>
        <v>0</v>
      </c>
      <c r="I8" s="125">
        <f>SUM('06'!F15)</f>
        <v>0</v>
      </c>
      <c r="K8" s="125">
        <v>1806</v>
      </c>
      <c r="L8" s="125">
        <f>SUM('06'!G3)</f>
        <v>0</v>
      </c>
      <c r="M8" s="125">
        <f>SUM('06'!G4)</f>
        <v>0</v>
      </c>
      <c r="N8" s="125">
        <f>SUM('06'!G5)</f>
        <v>0</v>
      </c>
      <c r="O8" s="125">
        <f>SUM('06'!G6)</f>
        <v>0</v>
      </c>
      <c r="P8" s="129">
        <f>SUM('06'!G21)</f>
        <v>0</v>
      </c>
      <c r="Q8" s="129">
        <f>SUM('06'!G23)</f>
        <v>0</v>
      </c>
      <c r="R8" s="125">
        <f>SUM('06'!G15)</f>
        <v>0</v>
      </c>
      <c r="T8" s="125">
        <v>1806</v>
      </c>
      <c r="U8" s="125">
        <f>SUM('06'!H3)</f>
        <v>0</v>
      </c>
      <c r="V8" s="125">
        <f>SUM('06'!H4)</f>
        <v>0</v>
      </c>
      <c r="W8" s="125">
        <f>SUM('06'!H5)</f>
        <v>0</v>
      </c>
      <c r="X8" s="125">
        <f>SUM('06'!H6)</f>
        <v>0</v>
      </c>
      <c r="Y8" s="129">
        <f>SUM('06'!H21)</f>
        <v>0</v>
      </c>
      <c r="Z8" s="129">
        <f>SUM('06'!H23)</f>
        <v>0</v>
      </c>
      <c r="AA8" s="125">
        <f>SUM('06'!H15)</f>
        <v>0</v>
      </c>
      <c r="AC8" s="125">
        <v>1806</v>
      </c>
      <c r="AD8" s="127">
        <f t="shared" si="0"/>
        <v>0</v>
      </c>
      <c r="AE8" s="127">
        <f t="shared" si="0"/>
        <v>0</v>
      </c>
      <c r="AF8" s="127">
        <f t="shared" si="0"/>
        <v>0</v>
      </c>
      <c r="AG8" s="127">
        <f t="shared" si="0"/>
        <v>0</v>
      </c>
      <c r="AH8" s="127">
        <f t="shared" si="0"/>
        <v>0</v>
      </c>
      <c r="AI8" s="127">
        <f t="shared" si="0"/>
        <v>0</v>
      </c>
      <c r="AJ8" s="127">
        <f t="shared" si="0"/>
        <v>0</v>
      </c>
    </row>
    <row r="9" spans="1:36" x14ac:dyDescent="0.2">
      <c r="A9" s="45">
        <v>7</v>
      </c>
      <c r="B9" s="252" t="s">
        <v>255</v>
      </c>
      <c r="C9" s="125">
        <f>SUM('07'!F3)</f>
        <v>0</v>
      </c>
      <c r="D9" s="125">
        <f>SUM('07'!F4)</f>
        <v>0</v>
      </c>
      <c r="E9" s="125">
        <f>SUM('07'!F5)</f>
        <v>0</v>
      </c>
      <c r="F9" s="125">
        <f>SUM('07'!F6)</f>
        <v>0</v>
      </c>
      <c r="G9" s="129">
        <f>SUM('07'!F21)</f>
        <v>0</v>
      </c>
      <c r="H9" s="129">
        <f>SUM('07'!F23)</f>
        <v>0</v>
      </c>
      <c r="I9" s="125">
        <f>SUM('07'!F15)</f>
        <v>0</v>
      </c>
      <c r="K9" s="252" t="s">
        <v>255</v>
      </c>
      <c r="L9" s="125">
        <f>SUM('07'!G3)</f>
        <v>0</v>
      </c>
      <c r="M9" s="125">
        <f>SUM('07'!G4)</f>
        <v>0</v>
      </c>
      <c r="N9" s="125">
        <f>SUM('07'!G5)</f>
        <v>0</v>
      </c>
      <c r="O9" s="125">
        <f>SUM('07'!G6)</f>
        <v>0</v>
      </c>
      <c r="P9" s="129">
        <f>SUM('07'!G21)</f>
        <v>0</v>
      </c>
      <c r="Q9" s="129">
        <f>SUM('07'!G23)</f>
        <v>0</v>
      </c>
      <c r="R9" s="125">
        <f>SUM('07'!G15)</f>
        <v>0</v>
      </c>
      <c r="T9" s="252" t="s">
        <v>255</v>
      </c>
      <c r="U9" s="125">
        <f>SUM('07'!H3)</f>
        <v>0</v>
      </c>
      <c r="V9" s="125">
        <f>SUM('07'!H4)</f>
        <v>0</v>
      </c>
      <c r="W9" s="125">
        <f>SUM('07'!H5)</f>
        <v>0</v>
      </c>
      <c r="X9" s="125">
        <f>SUM('07'!H6)</f>
        <v>0</v>
      </c>
      <c r="Y9" s="129">
        <f>SUM('07'!H21)</f>
        <v>0</v>
      </c>
      <c r="Z9" s="129">
        <f>SUM('07'!H23)</f>
        <v>0</v>
      </c>
      <c r="AA9" s="125">
        <f>SUM('07'!H15)</f>
        <v>0</v>
      </c>
      <c r="AC9" s="252" t="s">
        <v>255</v>
      </c>
      <c r="AD9" s="127">
        <f t="shared" si="0"/>
        <v>0</v>
      </c>
      <c r="AE9" s="127">
        <f t="shared" si="0"/>
        <v>0</v>
      </c>
      <c r="AF9" s="127">
        <f t="shared" si="0"/>
        <v>0</v>
      </c>
      <c r="AG9" s="127">
        <f t="shared" si="0"/>
        <v>0</v>
      </c>
      <c r="AH9" s="127">
        <f t="shared" si="0"/>
        <v>0</v>
      </c>
      <c r="AI9" s="127">
        <f t="shared" si="0"/>
        <v>0</v>
      </c>
      <c r="AJ9" s="127">
        <f t="shared" si="0"/>
        <v>0</v>
      </c>
    </row>
    <row r="10" spans="1:36" x14ac:dyDescent="0.2">
      <c r="A10" s="45">
        <v>8</v>
      </c>
      <c r="B10" s="125">
        <v>1808</v>
      </c>
      <c r="C10" s="125">
        <f>SUM('08'!F3)</f>
        <v>0</v>
      </c>
      <c r="D10" s="125">
        <f>SUM('08'!F4)</f>
        <v>0</v>
      </c>
      <c r="E10" s="125">
        <f>SUM('08'!F5)</f>
        <v>0</v>
      </c>
      <c r="F10" s="125">
        <f>SUM('08'!F6)</f>
        <v>0</v>
      </c>
      <c r="G10" s="129">
        <f>SUM('08'!F21)</f>
        <v>0</v>
      </c>
      <c r="H10" s="129">
        <f>SUM('08'!F23)</f>
        <v>0</v>
      </c>
      <c r="I10" s="125">
        <f>SUM('08'!F15)</f>
        <v>0</v>
      </c>
      <c r="K10" s="125">
        <v>1808</v>
      </c>
      <c r="L10" s="125">
        <f>SUM('08'!G3)</f>
        <v>0</v>
      </c>
      <c r="M10" s="125">
        <f>SUM('08'!G4)</f>
        <v>0</v>
      </c>
      <c r="N10" s="125">
        <f>SUM('08'!G5)</f>
        <v>0</v>
      </c>
      <c r="O10" s="125">
        <f>SUM('08'!G6)</f>
        <v>0</v>
      </c>
      <c r="P10" s="129">
        <f>SUM('08'!G21)</f>
        <v>0</v>
      </c>
      <c r="Q10" s="129">
        <f>SUM('08'!G23)</f>
        <v>0</v>
      </c>
      <c r="R10" s="125">
        <f>SUM('08'!G15)</f>
        <v>0</v>
      </c>
      <c r="T10" s="125">
        <v>1808</v>
      </c>
      <c r="U10" s="125">
        <f>SUM('08'!H3)</f>
        <v>0</v>
      </c>
      <c r="V10" s="125">
        <f>SUM('08'!H4)</f>
        <v>0</v>
      </c>
      <c r="W10" s="125">
        <f>SUM('08'!H5)</f>
        <v>0</v>
      </c>
      <c r="X10" s="125">
        <f>SUM('08'!H6)</f>
        <v>0</v>
      </c>
      <c r="Y10" s="129">
        <f>SUM('08'!H21)</f>
        <v>0</v>
      </c>
      <c r="Z10" s="301">
        <f>SUM('08'!H23)</f>
        <v>0</v>
      </c>
      <c r="AA10" s="125">
        <f>SUM('08'!H15)</f>
        <v>0</v>
      </c>
      <c r="AC10" s="125">
        <v>1808</v>
      </c>
      <c r="AD10" s="127">
        <f t="shared" ref="AD10:AJ16" si="1">SUM(C35)*1000</f>
        <v>0</v>
      </c>
      <c r="AE10" s="127">
        <f t="shared" si="1"/>
        <v>0</v>
      </c>
      <c r="AF10" s="127">
        <f t="shared" si="1"/>
        <v>0</v>
      </c>
      <c r="AG10" s="127">
        <f t="shared" si="1"/>
        <v>0</v>
      </c>
      <c r="AH10" s="127">
        <f t="shared" si="1"/>
        <v>0</v>
      </c>
      <c r="AI10" s="127">
        <f t="shared" si="1"/>
        <v>0</v>
      </c>
      <c r="AJ10" s="127">
        <f t="shared" si="1"/>
        <v>0</v>
      </c>
    </row>
    <row r="11" spans="1:36" x14ac:dyDescent="0.2">
      <c r="A11" s="45">
        <v>9</v>
      </c>
      <c r="B11" s="125">
        <v>1809</v>
      </c>
      <c r="C11" s="125">
        <f>SUM('09'!F3)</f>
        <v>0</v>
      </c>
      <c r="D11" s="125">
        <f>SUM('09'!F4)</f>
        <v>0</v>
      </c>
      <c r="E11" s="125">
        <f>SUM('09'!F5)</f>
        <v>0</v>
      </c>
      <c r="F11" s="125">
        <f>SUM('09'!F6)</f>
        <v>0</v>
      </c>
      <c r="G11" s="129">
        <f>SUM('09'!F21)</f>
        <v>0</v>
      </c>
      <c r="H11" s="129">
        <f>SUM('09'!F23)</f>
        <v>0</v>
      </c>
      <c r="I11" s="125">
        <f>SUM('09'!F15)</f>
        <v>0</v>
      </c>
      <c r="K11" s="125">
        <v>1809</v>
      </c>
      <c r="L11" s="125">
        <f>SUM('09'!G3)</f>
        <v>0</v>
      </c>
      <c r="M11" s="125">
        <f>SUM('09'!G4)</f>
        <v>0</v>
      </c>
      <c r="N11" s="125">
        <f>SUM('09'!G5)</f>
        <v>0</v>
      </c>
      <c r="O11" s="125">
        <f>SUM('09'!G6)</f>
        <v>0</v>
      </c>
      <c r="P11" s="129">
        <f>SUM('09'!G21)</f>
        <v>0</v>
      </c>
      <c r="Q11" s="301">
        <f>SUM('09'!G23)</f>
        <v>0</v>
      </c>
      <c r="R11" s="125">
        <f>SUM('09'!G15)</f>
        <v>0</v>
      </c>
      <c r="T11" s="125">
        <v>1809</v>
      </c>
      <c r="U11" s="125">
        <f>SUM('09'!H3)</f>
        <v>0</v>
      </c>
      <c r="V11" s="125">
        <f>SUM('09'!H4)</f>
        <v>0</v>
      </c>
      <c r="W11" s="125">
        <f>SUM('09'!H5)</f>
        <v>0</v>
      </c>
      <c r="X11" s="125">
        <f>SUM('09'!H6)</f>
        <v>0</v>
      </c>
      <c r="Y11" s="129">
        <f>SUM('09'!H21)</f>
        <v>0</v>
      </c>
      <c r="Z11" s="301">
        <f>SUM('09'!H23)</f>
        <v>0</v>
      </c>
      <c r="AA11" s="125">
        <f>SUM('09'!H15)</f>
        <v>0</v>
      </c>
      <c r="AC11" s="125">
        <v>1809</v>
      </c>
      <c r="AD11" s="127">
        <f t="shared" si="1"/>
        <v>0</v>
      </c>
      <c r="AE11" s="127">
        <f t="shared" si="1"/>
        <v>0</v>
      </c>
      <c r="AF11" s="127">
        <f t="shared" si="1"/>
        <v>0</v>
      </c>
      <c r="AG11" s="127">
        <f t="shared" si="1"/>
        <v>0</v>
      </c>
      <c r="AH11" s="127">
        <f t="shared" si="1"/>
        <v>0</v>
      </c>
      <c r="AI11" s="127">
        <f t="shared" si="1"/>
        <v>0</v>
      </c>
      <c r="AJ11" s="127">
        <f t="shared" si="1"/>
        <v>0</v>
      </c>
    </row>
    <row r="12" spans="1:36" x14ac:dyDescent="0.2">
      <c r="A12" s="45">
        <v>10</v>
      </c>
      <c r="B12" s="125">
        <v>1810</v>
      </c>
      <c r="C12" s="125">
        <f>SUM('10'!F3)</f>
        <v>0</v>
      </c>
      <c r="D12" s="125">
        <f>SUM('10'!F4)</f>
        <v>0</v>
      </c>
      <c r="E12" s="125">
        <f>SUM('10'!F5)</f>
        <v>0</v>
      </c>
      <c r="F12" s="125">
        <f>SUM('10'!F6)</f>
        <v>0</v>
      </c>
      <c r="G12" s="129">
        <f>SUM('10'!F21)</f>
        <v>0</v>
      </c>
      <c r="H12" s="129">
        <f>SUM('10'!F23)</f>
        <v>0</v>
      </c>
      <c r="I12" s="125">
        <f>SUM('10'!F15)</f>
        <v>0</v>
      </c>
      <c r="K12" s="125">
        <v>1810</v>
      </c>
      <c r="L12" s="125">
        <f>SUM('10'!G3)</f>
        <v>0</v>
      </c>
      <c r="M12" s="125">
        <f>SUM('10'!G4)</f>
        <v>0</v>
      </c>
      <c r="N12" s="125">
        <f>SUM('10'!G5)</f>
        <v>0</v>
      </c>
      <c r="O12" s="125">
        <f>SUM('10'!G6)</f>
        <v>0</v>
      </c>
      <c r="P12" s="129">
        <f>SUM('10'!G21)</f>
        <v>0</v>
      </c>
      <c r="Q12" s="129">
        <f>SUM('10'!G23)</f>
        <v>0</v>
      </c>
      <c r="R12" s="125">
        <f>SUM('10'!G15)</f>
        <v>0</v>
      </c>
      <c r="T12" s="125">
        <v>1810</v>
      </c>
      <c r="U12" s="125">
        <f>SUM('10'!H3)</f>
        <v>0</v>
      </c>
      <c r="V12" s="125">
        <f>SUM('10'!H4)</f>
        <v>0</v>
      </c>
      <c r="W12" s="125">
        <f>SUM('10'!H5)</f>
        <v>0</v>
      </c>
      <c r="X12" s="125">
        <f>SUM('10'!H6)</f>
        <v>0</v>
      </c>
      <c r="Y12" s="129">
        <f>SUM('10'!H21)</f>
        <v>0</v>
      </c>
      <c r="Z12" s="129">
        <f>SUM('10'!H23)</f>
        <v>0</v>
      </c>
      <c r="AA12" s="125">
        <f>SUM('10'!H15)</f>
        <v>0</v>
      </c>
      <c r="AC12" s="125">
        <v>1810</v>
      </c>
      <c r="AD12" s="127">
        <f t="shared" si="1"/>
        <v>0</v>
      </c>
      <c r="AE12" s="127">
        <f t="shared" si="1"/>
        <v>0</v>
      </c>
      <c r="AF12" s="127">
        <f t="shared" si="1"/>
        <v>0</v>
      </c>
      <c r="AG12" s="127">
        <f t="shared" si="1"/>
        <v>0</v>
      </c>
      <c r="AH12" s="127">
        <f t="shared" si="1"/>
        <v>0</v>
      </c>
      <c r="AI12" s="127">
        <f t="shared" si="1"/>
        <v>0</v>
      </c>
      <c r="AJ12" s="127">
        <f t="shared" si="1"/>
        <v>0</v>
      </c>
    </row>
    <row r="13" spans="1:36" x14ac:dyDescent="0.2">
      <c r="A13" s="45">
        <v>11</v>
      </c>
      <c r="B13" s="125">
        <v>1811</v>
      </c>
      <c r="C13" s="125">
        <f>SUM('11'!F3)</f>
        <v>0</v>
      </c>
      <c r="D13" s="125">
        <f>SUM('11'!F4)</f>
        <v>0</v>
      </c>
      <c r="E13" s="125">
        <f>SUM('11'!F5)</f>
        <v>0</v>
      </c>
      <c r="F13" s="125">
        <f>SUM('11'!F6)</f>
        <v>0</v>
      </c>
      <c r="G13" s="129">
        <f>SUM('11'!F21)</f>
        <v>0</v>
      </c>
      <c r="H13" s="129">
        <f>SUM('11'!F23)</f>
        <v>0</v>
      </c>
      <c r="I13" s="125">
        <f>SUM('11'!F15)</f>
        <v>0</v>
      </c>
      <c r="K13" s="125">
        <v>1811</v>
      </c>
      <c r="L13" s="125">
        <f>SUM('11'!G3)</f>
        <v>0</v>
      </c>
      <c r="M13" s="125">
        <f>SUM('11'!G4)</f>
        <v>0</v>
      </c>
      <c r="N13" s="125">
        <f>SUM('11'!G5)</f>
        <v>0</v>
      </c>
      <c r="O13" s="125">
        <f>SUM('11'!G6)</f>
        <v>0</v>
      </c>
      <c r="P13" s="129">
        <f>SUM('11'!G21)</f>
        <v>0</v>
      </c>
      <c r="Q13" s="129">
        <f>SUM('11'!G23)</f>
        <v>0</v>
      </c>
      <c r="R13" s="125">
        <f>SUM('11'!G15)</f>
        <v>0</v>
      </c>
      <c r="T13" s="125">
        <v>1811</v>
      </c>
      <c r="U13" s="125">
        <f>SUM('11'!H3)</f>
        <v>0</v>
      </c>
      <c r="V13" s="125">
        <f>SUM('11'!H4)</f>
        <v>0</v>
      </c>
      <c r="W13" s="125">
        <f>SUM('11'!H5)</f>
        <v>0</v>
      </c>
      <c r="X13" s="125">
        <f>SUM('11'!H6)</f>
        <v>0</v>
      </c>
      <c r="Y13" s="129">
        <f>SUM('11'!H21)</f>
        <v>0</v>
      </c>
      <c r="Z13" s="129">
        <f>SUM('11'!H23)</f>
        <v>0</v>
      </c>
      <c r="AA13" s="125">
        <f>SUM('11'!H15)</f>
        <v>0</v>
      </c>
      <c r="AC13" s="125">
        <v>1811</v>
      </c>
      <c r="AD13" s="127">
        <f t="shared" si="1"/>
        <v>0</v>
      </c>
      <c r="AE13" s="127">
        <f t="shared" si="1"/>
        <v>0</v>
      </c>
      <c r="AF13" s="127">
        <f t="shared" si="1"/>
        <v>0</v>
      </c>
      <c r="AG13" s="127">
        <f t="shared" si="1"/>
        <v>0</v>
      </c>
      <c r="AH13" s="127">
        <f t="shared" si="1"/>
        <v>0</v>
      </c>
      <c r="AI13" s="127">
        <f t="shared" si="1"/>
        <v>0</v>
      </c>
      <c r="AJ13" s="127">
        <f t="shared" si="1"/>
        <v>0</v>
      </c>
    </row>
    <row r="14" spans="1:36" x14ac:dyDescent="0.2">
      <c r="A14" s="45">
        <v>12</v>
      </c>
      <c r="B14" s="125">
        <v>1812</v>
      </c>
      <c r="C14" s="125">
        <f>SUM('12'!F3)</f>
        <v>0</v>
      </c>
      <c r="D14" s="125">
        <f>SUM('12'!F4)</f>
        <v>0</v>
      </c>
      <c r="E14" s="125">
        <f>SUM('12'!F5)</f>
        <v>0</v>
      </c>
      <c r="F14" s="125">
        <f>SUM('12'!F6)</f>
        <v>0</v>
      </c>
      <c r="G14" s="129">
        <f>SUM('12'!F21)</f>
        <v>0</v>
      </c>
      <c r="H14" s="129">
        <f>SUM('12'!F23)</f>
        <v>0</v>
      </c>
      <c r="I14" s="125">
        <f>SUM('12'!F15)</f>
        <v>0</v>
      </c>
      <c r="K14" s="125">
        <v>1812</v>
      </c>
      <c r="L14" s="125">
        <f>SUM('12'!G3)</f>
        <v>0</v>
      </c>
      <c r="M14" s="125">
        <f>SUM('12'!G4)</f>
        <v>0</v>
      </c>
      <c r="N14" s="125">
        <f>SUM('12'!G5)</f>
        <v>0</v>
      </c>
      <c r="O14" s="125">
        <f>SUM('12'!G6)</f>
        <v>0</v>
      </c>
      <c r="P14" s="129">
        <f>SUM('12'!G21)</f>
        <v>0</v>
      </c>
      <c r="Q14" s="129">
        <f>SUM('12'!G23)</f>
        <v>0</v>
      </c>
      <c r="R14" s="125">
        <f>SUM('12'!G15)</f>
        <v>0</v>
      </c>
      <c r="T14" s="125">
        <v>1812</v>
      </c>
      <c r="U14" s="125">
        <f>SUM('12'!H3)</f>
        <v>0</v>
      </c>
      <c r="V14" s="125">
        <f>SUM('12'!H4)</f>
        <v>0</v>
      </c>
      <c r="W14" s="125">
        <f>SUM('12'!H5)</f>
        <v>0</v>
      </c>
      <c r="X14" s="125">
        <f>SUM('12'!H6)</f>
        <v>0</v>
      </c>
      <c r="Y14" s="129">
        <f>SUM('12'!H21)</f>
        <v>0</v>
      </c>
      <c r="Z14" s="129">
        <f>SUM('12'!H23)</f>
        <v>0</v>
      </c>
      <c r="AA14" s="125">
        <f>SUM('12'!H15)</f>
        <v>0</v>
      </c>
      <c r="AC14" s="125">
        <v>1812</v>
      </c>
      <c r="AD14" s="127">
        <f t="shared" si="1"/>
        <v>0</v>
      </c>
      <c r="AE14" s="127">
        <f t="shared" si="1"/>
        <v>0</v>
      </c>
      <c r="AF14" s="127">
        <f t="shared" si="1"/>
        <v>0</v>
      </c>
      <c r="AG14" s="127">
        <f t="shared" si="1"/>
        <v>0</v>
      </c>
      <c r="AH14" s="127">
        <f t="shared" si="1"/>
        <v>0</v>
      </c>
      <c r="AI14" s="127">
        <f t="shared" si="1"/>
        <v>0</v>
      </c>
      <c r="AJ14" s="127">
        <f t="shared" si="1"/>
        <v>0</v>
      </c>
    </row>
    <row r="15" spans="1:36" x14ac:dyDescent="0.2">
      <c r="A15" s="45">
        <v>13</v>
      </c>
      <c r="B15" s="125">
        <v>1814</v>
      </c>
      <c r="C15" s="125">
        <f>SUM('14'!F3)</f>
        <v>0</v>
      </c>
      <c r="D15" s="125">
        <f>SUM('14'!F4)</f>
        <v>0</v>
      </c>
      <c r="E15" s="125">
        <f>SUM('14'!F5)</f>
        <v>0</v>
      </c>
      <c r="F15" s="125">
        <f>SUM('14'!F6)</f>
        <v>0</v>
      </c>
      <c r="G15" s="129">
        <f>SUM('14'!F21)</f>
        <v>0</v>
      </c>
      <c r="H15" s="129">
        <f>SUM('14'!F23)</f>
        <v>0</v>
      </c>
      <c r="I15" s="125">
        <f>SUM('14'!F15)</f>
        <v>0</v>
      </c>
      <c r="K15" s="125">
        <v>1814</v>
      </c>
      <c r="L15" s="125">
        <f>SUM('14'!G3)</f>
        <v>0</v>
      </c>
      <c r="M15" s="125">
        <f>SUM('14'!G4)</f>
        <v>0</v>
      </c>
      <c r="N15" s="125">
        <f>SUM('14'!G5)</f>
        <v>0</v>
      </c>
      <c r="O15" s="125">
        <f>SUM('14'!G6)</f>
        <v>0</v>
      </c>
      <c r="P15" s="129">
        <f>SUM('14'!G21)</f>
        <v>0</v>
      </c>
      <c r="Q15" s="129">
        <f>SUM('14'!G23)</f>
        <v>0</v>
      </c>
      <c r="R15" s="125">
        <f>SUM('14'!G15)</f>
        <v>0</v>
      </c>
      <c r="T15" s="125">
        <v>1814</v>
      </c>
      <c r="U15" s="125">
        <f>SUM('14'!H3)</f>
        <v>0</v>
      </c>
      <c r="V15" s="125">
        <f>SUM('14'!H4)</f>
        <v>0</v>
      </c>
      <c r="W15" s="125">
        <f>SUM('14'!H5)</f>
        <v>0</v>
      </c>
      <c r="X15" s="125">
        <f>SUM('14'!H6)</f>
        <v>0</v>
      </c>
      <c r="Y15" s="129">
        <f>SUM('14'!H21)</f>
        <v>0</v>
      </c>
      <c r="Z15" s="129">
        <f>SUM('14'!H23)</f>
        <v>0</v>
      </c>
      <c r="AA15" s="125">
        <f>SUM('14'!H15)</f>
        <v>0</v>
      </c>
      <c r="AC15" s="125">
        <v>1814</v>
      </c>
      <c r="AD15" s="127">
        <f t="shared" si="1"/>
        <v>0</v>
      </c>
      <c r="AE15" s="127">
        <f t="shared" si="1"/>
        <v>0</v>
      </c>
      <c r="AF15" s="127">
        <f t="shared" si="1"/>
        <v>0</v>
      </c>
      <c r="AG15" s="127">
        <f t="shared" si="1"/>
        <v>0</v>
      </c>
      <c r="AH15" s="127">
        <f t="shared" si="1"/>
        <v>0</v>
      </c>
      <c r="AI15" s="127">
        <f t="shared" si="1"/>
        <v>0</v>
      </c>
      <c r="AJ15" s="127">
        <f t="shared" si="1"/>
        <v>0</v>
      </c>
    </row>
    <row r="16" spans="1:36" x14ac:dyDescent="0.2">
      <c r="A16" s="45">
        <v>14</v>
      </c>
      <c r="B16" s="125">
        <v>1815</v>
      </c>
      <c r="C16" s="125">
        <f>SUM('15'!F3)</f>
        <v>0</v>
      </c>
      <c r="D16" s="125">
        <f>SUM('15'!F4)</f>
        <v>0</v>
      </c>
      <c r="E16" s="125">
        <f>SUM('15'!F5)</f>
        <v>0</v>
      </c>
      <c r="F16" s="125">
        <f>SUM('15'!F6)</f>
        <v>0</v>
      </c>
      <c r="G16" s="129">
        <f>SUM('15'!F21)</f>
        <v>0</v>
      </c>
      <c r="H16" s="129">
        <f>SUM('15'!F23)</f>
        <v>0</v>
      </c>
      <c r="I16" s="125">
        <f>SUM('15'!F15)</f>
        <v>0</v>
      </c>
      <c r="K16" s="125">
        <v>1815</v>
      </c>
      <c r="L16" s="125">
        <f>SUM('15'!G3)</f>
        <v>0</v>
      </c>
      <c r="M16" s="125">
        <f>SUM('15'!G4)</f>
        <v>0</v>
      </c>
      <c r="N16" s="125">
        <f>SUM('15'!G5)</f>
        <v>0</v>
      </c>
      <c r="O16" s="125">
        <f>SUM('15'!G6)</f>
        <v>0</v>
      </c>
      <c r="P16" s="129">
        <f>SUM('15'!G21)</f>
        <v>0</v>
      </c>
      <c r="Q16" s="129">
        <f>SUM('15'!G23)</f>
        <v>0</v>
      </c>
      <c r="R16" s="125">
        <f>SUM('15'!G15)</f>
        <v>0</v>
      </c>
      <c r="T16" s="125">
        <v>1815</v>
      </c>
      <c r="U16" s="125">
        <f>SUM('15'!H3)</f>
        <v>0</v>
      </c>
      <c r="V16" s="125">
        <f>SUM('15'!H4)</f>
        <v>0</v>
      </c>
      <c r="W16" s="125">
        <f>SUM('15'!H5)</f>
        <v>0</v>
      </c>
      <c r="X16" s="125">
        <f>SUM('15'!H6)</f>
        <v>0</v>
      </c>
      <c r="Y16" s="129">
        <f>SUM('15'!H21)</f>
        <v>0</v>
      </c>
      <c r="Z16" s="129">
        <f>SUM('15'!H23)</f>
        <v>0</v>
      </c>
      <c r="AA16" s="125">
        <f>SUM('15'!H15)</f>
        <v>0</v>
      </c>
      <c r="AC16" s="125">
        <v>1815</v>
      </c>
      <c r="AD16" s="127">
        <f t="shared" si="1"/>
        <v>0</v>
      </c>
      <c r="AE16" s="127">
        <f t="shared" si="1"/>
        <v>0</v>
      </c>
      <c r="AF16" s="127">
        <f t="shared" si="1"/>
        <v>0</v>
      </c>
      <c r="AG16" s="127">
        <f t="shared" si="1"/>
        <v>0</v>
      </c>
      <c r="AH16" s="127">
        <f t="shared" si="1"/>
        <v>0</v>
      </c>
      <c r="AI16" s="127">
        <f t="shared" si="1"/>
        <v>0</v>
      </c>
      <c r="AJ16" s="127">
        <f t="shared" si="1"/>
        <v>0</v>
      </c>
    </row>
    <row r="17" spans="1:37" x14ac:dyDescent="0.2">
      <c r="A17" s="45">
        <v>15</v>
      </c>
      <c r="B17" s="252" t="s">
        <v>253</v>
      </c>
      <c r="C17" s="125">
        <f>SUM('63'!F3)</f>
        <v>0</v>
      </c>
      <c r="D17" s="125">
        <f>SUM('63'!F4)</f>
        <v>0</v>
      </c>
      <c r="E17" s="125">
        <f>SUM('63'!F5)</f>
        <v>0</v>
      </c>
      <c r="F17" s="125">
        <f>SUM('63'!F6)</f>
        <v>0</v>
      </c>
      <c r="G17" s="129">
        <f>SUM('63'!F21)</f>
        <v>0</v>
      </c>
      <c r="H17" s="129">
        <f>SUM('63'!F23)</f>
        <v>0</v>
      </c>
      <c r="I17" s="125">
        <f>SUM('63'!F15)</f>
        <v>0</v>
      </c>
      <c r="K17" s="252" t="s">
        <v>253</v>
      </c>
      <c r="L17" s="125">
        <f>SUM('63'!G3)</f>
        <v>0</v>
      </c>
      <c r="M17" s="125">
        <f>SUM('63'!G4)</f>
        <v>0</v>
      </c>
      <c r="N17" s="125">
        <f>SUM('63'!G5)</f>
        <v>0</v>
      </c>
      <c r="O17" s="125">
        <f>SUM('63'!G6)</f>
        <v>0</v>
      </c>
      <c r="P17" s="129">
        <f>SUM('63'!G21)</f>
        <v>0</v>
      </c>
      <c r="Q17" s="129">
        <f>SUM('63'!G23)</f>
        <v>0</v>
      </c>
      <c r="R17" s="125">
        <f>SUM('63'!G15)</f>
        <v>0</v>
      </c>
      <c r="T17" s="252" t="s">
        <v>253</v>
      </c>
      <c r="U17" s="125">
        <f>SUM('63'!H3)</f>
        <v>0</v>
      </c>
      <c r="V17" s="125">
        <f>SUM('63'!H4)</f>
        <v>0</v>
      </c>
      <c r="W17" s="125">
        <f>SUM('63'!H5)</f>
        <v>0</v>
      </c>
      <c r="X17" s="125">
        <f>SUM('63'!H6)</f>
        <v>0</v>
      </c>
      <c r="Y17" s="129">
        <f>SUM('63'!H21)</f>
        <v>0</v>
      </c>
      <c r="Z17" s="129">
        <f>SUM('63'!H23)</f>
        <v>0</v>
      </c>
      <c r="AA17" s="125">
        <f>SUM('63'!H15)</f>
        <v>0</v>
      </c>
      <c r="AC17" s="252" t="s">
        <v>253</v>
      </c>
      <c r="AD17" s="127">
        <f t="shared" ref="AD17:AJ24" si="2">SUM(C43)*1000</f>
        <v>0</v>
      </c>
      <c r="AE17" s="127">
        <f t="shared" si="2"/>
        <v>0</v>
      </c>
      <c r="AF17" s="127">
        <f t="shared" si="2"/>
        <v>0</v>
      </c>
      <c r="AG17" s="127">
        <f t="shared" si="2"/>
        <v>0</v>
      </c>
      <c r="AH17" s="127">
        <f t="shared" si="2"/>
        <v>0</v>
      </c>
      <c r="AI17" s="127">
        <f t="shared" si="2"/>
        <v>0</v>
      </c>
      <c r="AJ17" s="127">
        <f t="shared" si="2"/>
        <v>0</v>
      </c>
    </row>
    <row r="18" spans="1:37" x14ac:dyDescent="0.2">
      <c r="A18" s="45">
        <v>16</v>
      </c>
      <c r="B18" s="125">
        <v>1817</v>
      </c>
      <c r="C18" s="125">
        <f>SUM('17'!F3)</f>
        <v>0</v>
      </c>
      <c r="D18" s="125">
        <f>SUM('17'!F4)</f>
        <v>0</v>
      </c>
      <c r="E18" s="125">
        <f>SUM('17'!F5)</f>
        <v>0</v>
      </c>
      <c r="F18" s="125">
        <f>SUM('17'!F6)</f>
        <v>0</v>
      </c>
      <c r="G18" s="129">
        <f>SUM('17'!F21)</f>
        <v>0</v>
      </c>
      <c r="H18" s="129">
        <f>SUM('17'!F23)</f>
        <v>0</v>
      </c>
      <c r="I18" s="125">
        <f>SUM('17'!F15)</f>
        <v>0</v>
      </c>
      <c r="K18" s="125">
        <v>1817</v>
      </c>
      <c r="L18" s="125">
        <f>SUM('17'!G3)</f>
        <v>0</v>
      </c>
      <c r="M18" s="125">
        <f>SUM('17'!G4)</f>
        <v>0</v>
      </c>
      <c r="N18" s="125">
        <f>SUM('17'!G5)</f>
        <v>0</v>
      </c>
      <c r="O18" s="125">
        <f>SUM('17'!G6)</f>
        <v>0</v>
      </c>
      <c r="P18" s="129">
        <f>SUM('17'!G21)</f>
        <v>0</v>
      </c>
      <c r="Q18" s="129">
        <f>SUM('17'!G23)</f>
        <v>0</v>
      </c>
      <c r="R18" s="125">
        <f>SUM('17'!G15)</f>
        <v>0</v>
      </c>
      <c r="T18" s="125">
        <v>1817</v>
      </c>
      <c r="U18" s="125">
        <f>SUM('17'!H3)</f>
        <v>0</v>
      </c>
      <c r="V18" s="125">
        <f>SUM('17'!H4)</f>
        <v>0</v>
      </c>
      <c r="W18" s="125">
        <f>SUM('17'!H5)</f>
        <v>0</v>
      </c>
      <c r="X18" s="125">
        <f>SUM('17'!H6)</f>
        <v>0</v>
      </c>
      <c r="Y18" s="129">
        <f>SUM('17'!H21)</f>
        <v>0</v>
      </c>
      <c r="Z18" s="129">
        <f>SUM('17'!H23)</f>
        <v>0</v>
      </c>
      <c r="AA18" s="125">
        <f>SUM('17'!H15)</f>
        <v>0</v>
      </c>
      <c r="AC18" s="125">
        <v>1817</v>
      </c>
      <c r="AD18" s="127">
        <f t="shared" si="2"/>
        <v>0</v>
      </c>
      <c r="AE18" s="127">
        <f t="shared" si="2"/>
        <v>0</v>
      </c>
      <c r="AF18" s="127">
        <f t="shared" si="2"/>
        <v>0</v>
      </c>
      <c r="AG18" s="127">
        <f t="shared" si="2"/>
        <v>0</v>
      </c>
      <c r="AH18" s="127">
        <f t="shared" si="2"/>
        <v>0</v>
      </c>
      <c r="AI18" s="127">
        <f t="shared" si="2"/>
        <v>0</v>
      </c>
      <c r="AJ18" s="127">
        <f t="shared" si="2"/>
        <v>0</v>
      </c>
    </row>
    <row r="19" spans="1:37" x14ac:dyDescent="0.2">
      <c r="A19" s="45">
        <v>17</v>
      </c>
      <c r="B19" s="125">
        <v>1818</v>
      </c>
      <c r="C19" s="125">
        <f>SUM('18'!F3)</f>
        <v>0</v>
      </c>
      <c r="D19" s="125">
        <f>SUM('18'!F4)</f>
        <v>0</v>
      </c>
      <c r="E19" s="125">
        <f>SUM('18'!F5)</f>
        <v>0</v>
      </c>
      <c r="F19" s="125">
        <f>SUM('18'!F6)</f>
        <v>0</v>
      </c>
      <c r="G19" s="129">
        <f>SUM('18'!F21)</f>
        <v>0</v>
      </c>
      <c r="H19" s="129">
        <f>SUM('18'!F23)</f>
        <v>0</v>
      </c>
      <c r="I19" s="125">
        <f>SUM('18'!F15)</f>
        <v>0</v>
      </c>
      <c r="K19" s="125">
        <v>1818</v>
      </c>
      <c r="L19" s="125">
        <f>SUM('18'!G3)</f>
        <v>0</v>
      </c>
      <c r="M19" s="125">
        <f>SUM('18'!G4)</f>
        <v>0</v>
      </c>
      <c r="N19" s="125">
        <f>SUM('18'!G5)</f>
        <v>0</v>
      </c>
      <c r="O19" s="125">
        <f>SUM('18'!G6)</f>
        <v>0</v>
      </c>
      <c r="P19" s="129">
        <f>SUM('18'!G21)</f>
        <v>0</v>
      </c>
      <c r="Q19" s="129">
        <f>SUM('18'!G23)</f>
        <v>0</v>
      </c>
      <c r="R19" s="125">
        <f>SUM('18'!G15)</f>
        <v>0</v>
      </c>
      <c r="T19" s="125">
        <v>1818</v>
      </c>
      <c r="U19" s="125">
        <f>SUM('18'!H3)</f>
        <v>0</v>
      </c>
      <c r="V19" s="125">
        <f>SUM('18'!H4)</f>
        <v>0</v>
      </c>
      <c r="W19" s="125">
        <f>SUM('18'!H5)</f>
        <v>0</v>
      </c>
      <c r="X19" s="125">
        <f>SUM('18'!H6)</f>
        <v>0</v>
      </c>
      <c r="Y19" s="129">
        <f>SUM('18'!H21)</f>
        <v>0</v>
      </c>
      <c r="Z19" s="129">
        <f>SUM('18'!H23)</f>
        <v>0</v>
      </c>
      <c r="AA19" s="125">
        <f>SUM('18'!H15)</f>
        <v>0</v>
      </c>
      <c r="AC19" s="125">
        <v>1818</v>
      </c>
      <c r="AD19" s="127">
        <f t="shared" si="2"/>
        <v>0</v>
      </c>
      <c r="AE19" s="127">
        <f t="shared" si="2"/>
        <v>0</v>
      </c>
      <c r="AF19" s="127">
        <f t="shared" si="2"/>
        <v>0</v>
      </c>
      <c r="AG19" s="127">
        <f t="shared" si="2"/>
        <v>0</v>
      </c>
      <c r="AH19" s="127">
        <f t="shared" si="2"/>
        <v>0</v>
      </c>
      <c r="AI19" s="127">
        <f t="shared" si="2"/>
        <v>0</v>
      </c>
      <c r="AJ19" s="127">
        <f t="shared" si="2"/>
        <v>0</v>
      </c>
    </row>
    <row r="20" spans="1:37" x14ac:dyDescent="0.2">
      <c r="A20" s="45">
        <v>18</v>
      </c>
      <c r="B20" s="125">
        <v>1819</v>
      </c>
      <c r="C20" s="125">
        <f>SUM('19'!F3)</f>
        <v>0</v>
      </c>
      <c r="D20" s="125">
        <f>SUM('19'!F4)</f>
        <v>0</v>
      </c>
      <c r="E20" s="125">
        <f>SUM('19'!F5)</f>
        <v>0</v>
      </c>
      <c r="F20" s="125">
        <f>SUM('19'!F6)</f>
        <v>0</v>
      </c>
      <c r="G20" s="129">
        <f>SUM('19'!F21)</f>
        <v>0</v>
      </c>
      <c r="H20" s="129">
        <f>SUM('19'!F23)</f>
        <v>0</v>
      </c>
      <c r="I20" s="125">
        <f>SUM('19'!F15)</f>
        <v>0</v>
      </c>
      <c r="K20" s="125">
        <v>1819</v>
      </c>
      <c r="L20" s="125">
        <f>SUM('19'!G3)</f>
        <v>0</v>
      </c>
      <c r="M20" s="125">
        <f>SUM('19'!G4)</f>
        <v>0</v>
      </c>
      <c r="N20" s="125">
        <f>SUM('19'!G5)</f>
        <v>0</v>
      </c>
      <c r="O20" s="125">
        <f>SUM('19'!G6)</f>
        <v>0</v>
      </c>
      <c r="P20" s="129">
        <f>SUM('19'!G21)</f>
        <v>0</v>
      </c>
      <c r="Q20" s="129">
        <f>SUM('19'!G23)</f>
        <v>0</v>
      </c>
      <c r="R20" s="125">
        <f>SUM('19'!G15)</f>
        <v>0</v>
      </c>
      <c r="T20" s="125">
        <v>1819</v>
      </c>
      <c r="U20" s="125">
        <f>SUM('19'!H3)</f>
        <v>0</v>
      </c>
      <c r="V20" s="125">
        <f>SUM('19'!H4)</f>
        <v>0</v>
      </c>
      <c r="W20" s="125">
        <f>SUM('19'!H5)</f>
        <v>0</v>
      </c>
      <c r="X20" s="125">
        <f>SUM('19'!H6)</f>
        <v>0</v>
      </c>
      <c r="Y20" s="129">
        <f>SUM('19'!H21)</f>
        <v>0</v>
      </c>
      <c r="Z20" s="129">
        <f>SUM('19'!H23)</f>
        <v>0</v>
      </c>
      <c r="AA20" s="125">
        <f>SUM('19'!H15)</f>
        <v>0</v>
      </c>
      <c r="AC20" s="125">
        <v>1819</v>
      </c>
      <c r="AD20" s="127">
        <f t="shared" si="2"/>
        <v>0</v>
      </c>
      <c r="AE20" s="127">
        <f t="shared" si="2"/>
        <v>0</v>
      </c>
      <c r="AF20" s="127">
        <f t="shared" si="2"/>
        <v>0</v>
      </c>
      <c r="AG20" s="127">
        <f t="shared" si="2"/>
        <v>0</v>
      </c>
      <c r="AH20" s="127">
        <f t="shared" si="2"/>
        <v>0</v>
      </c>
      <c r="AI20" s="127">
        <f t="shared" si="2"/>
        <v>0</v>
      </c>
      <c r="AJ20" s="127">
        <f t="shared" si="2"/>
        <v>0</v>
      </c>
    </row>
    <row r="21" spans="1:37" x14ac:dyDescent="0.2">
      <c r="A21" s="45">
        <v>19</v>
      </c>
      <c r="B21" s="252" t="s">
        <v>252</v>
      </c>
      <c r="C21" s="125">
        <f>SUM('20'!F3)</f>
        <v>0</v>
      </c>
      <c r="D21" s="125">
        <f>SUM('20'!F4)</f>
        <v>0</v>
      </c>
      <c r="E21" s="125">
        <f>SUM('20'!F5)</f>
        <v>0</v>
      </c>
      <c r="F21" s="125">
        <f>SUM('20'!F6)</f>
        <v>0</v>
      </c>
      <c r="G21" s="129">
        <f>SUM('20'!F21)</f>
        <v>0</v>
      </c>
      <c r="H21" s="129">
        <f>SUM('20'!F23)</f>
        <v>0</v>
      </c>
      <c r="I21" s="125">
        <f>SUM('20'!F15)</f>
        <v>0</v>
      </c>
      <c r="K21" s="252" t="s">
        <v>252</v>
      </c>
      <c r="L21" s="125">
        <f>SUM('20'!G3)</f>
        <v>0</v>
      </c>
      <c r="M21" s="125">
        <f>SUM('20'!G4)</f>
        <v>0</v>
      </c>
      <c r="N21" s="125">
        <f>SUM('20'!G5)</f>
        <v>0</v>
      </c>
      <c r="O21" s="125">
        <f>SUM('20'!G6)</f>
        <v>0</v>
      </c>
      <c r="P21" s="129">
        <f>SUM('20'!G21)</f>
        <v>0</v>
      </c>
      <c r="Q21" s="129">
        <f>SUM('20'!G23)</f>
        <v>0</v>
      </c>
      <c r="R21" s="125">
        <f>SUM('20'!G15)</f>
        <v>0</v>
      </c>
      <c r="T21" s="252" t="s">
        <v>252</v>
      </c>
      <c r="U21" s="125">
        <f>SUM('20'!H3)</f>
        <v>0</v>
      </c>
      <c r="V21" s="125">
        <f>SUM('20'!H4)</f>
        <v>0</v>
      </c>
      <c r="W21" s="125">
        <f>SUM('20'!H5)</f>
        <v>0</v>
      </c>
      <c r="X21" s="125">
        <f>SUM('20'!H6)</f>
        <v>0</v>
      </c>
      <c r="Y21" s="129">
        <f>SUM('20'!H21)</f>
        <v>0</v>
      </c>
      <c r="Z21" s="129">
        <f>SUM('20'!H23)</f>
        <v>0</v>
      </c>
      <c r="AA21" s="125">
        <f>SUM('20'!H15)</f>
        <v>0</v>
      </c>
      <c r="AC21" s="252" t="s">
        <v>252</v>
      </c>
      <c r="AD21" s="127">
        <f t="shared" si="2"/>
        <v>0</v>
      </c>
      <c r="AE21" s="127">
        <f t="shared" si="2"/>
        <v>0</v>
      </c>
      <c r="AF21" s="127">
        <f t="shared" si="2"/>
        <v>0</v>
      </c>
      <c r="AG21" s="127">
        <f t="shared" si="2"/>
        <v>0</v>
      </c>
      <c r="AH21" s="127">
        <f t="shared" si="2"/>
        <v>0</v>
      </c>
      <c r="AI21" s="127">
        <f t="shared" si="2"/>
        <v>0</v>
      </c>
      <c r="AJ21" s="127">
        <f t="shared" si="2"/>
        <v>0</v>
      </c>
    </row>
    <row r="22" spans="1:37" x14ac:dyDescent="0.2">
      <c r="A22" s="45">
        <v>20</v>
      </c>
      <c r="B22" s="125">
        <v>1821</v>
      </c>
      <c r="C22" s="125">
        <f>SUM('21'!F3)</f>
        <v>0</v>
      </c>
      <c r="D22" s="125">
        <f>SUM('21'!F4)</f>
        <v>0</v>
      </c>
      <c r="E22" s="125">
        <f>SUM('21'!F5)</f>
        <v>0</v>
      </c>
      <c r="F22" s="125">
        <f>SUM('21'!F6)</f>
        <v>0</v>
      </c>
      <c r="G22" s="129">
        <f>SUM('21'!F21)</f>
        <v>0</v>
      </c>
      <c r="H22" s="129">
        <f>SUM('21'!F23)</f>
        <v>0</v>
      </c>
      <c r="I22" s="125">
        <f>SUM('21'!F15)</f>
        <v>0</v>
      </c>
      <c r="K22" s="125">
        <v>1821</v>
      </c>
      <c r="L22" s="125">
        <f>SUM('21'!G3)</f>
        <v>0</v>
      </c>
      <c r="M22" s="125">
        <f>SUM('21'!G4)</f>
        <v>0</v>
      </c>
      <c r="N22" s="125">
        <f>SUM('21'!G5)</f>
        <v>0</v>
      </c>
      <c r="O22" s="125">
        <f>SUM('21'!G6)</f>
        <v>0</v>
      </c>
      <c r="P22" s="129">
        <f>SUM('21'!G21)</f>
        <v>0</v>
      </c>
      <c r="Q22" s="129">
        <f>SUM('21'!G23)</f>
        <v>0</v>
      </c>
      <c r="R22" s="125">
        <f>SUM('21'!G15)</f>
        <v>0</v>
      </c>
      <c r="T22" s="125">
        <v>1821</v>
      </c>
      <c r="U22" s="125">
        <f>SUM('21'!H3)</f>
        <v>0</v>
      </c>
      <c r="V22" s="125">
        <f>SUM('21'!H4)</f>
        <v>0</v>
      </c>
      <c r="W22" s="125">
        <f>SUM('21'!H5)</f>
        <v>0</v>
      </c>
      <c r="X22" s="125">
        <f>SUM('21'!H6)</f>
        <v>0</v>
      </c>
      <c r="Y22" s="129">
        <f>SUM('21'!H21)</f>
        <v>0</v>
      </c>
      <c r="Z22" s="129">
        <f>SUM('21'!H23)</f>
        <v>0</v>
      </c>
      <c r="AA22" s="125">
        <f>SUM('21'!H15)</f>
        <v>0</v>
      </c>
      <c r="AC22" s="125">
        <v>1821</v>
      </c>
      <c r="AD22" s="127">
        <f t="shared" si="2"/>
        <v>0</v>
      </c>
      <c r="AE22" s="127">
        <f t="shared" si="2"/>
        <v>0</v>
      </c>
      <c r="AF22" s="127">
        <f t="shared" si="2"/>
        <v>0</v>
      </c>
      <c r="AG22" s="127">
        <f t="shared" si="2"/>
        <v>0</v>
      </c>
      <c r="AH22" s="127">
        <f t="shared" si="2"/>
        <v>0</v>
      </c>
      <c r="AI22" s="127">
        <f t="shared" si="2"/>
        <v>0</v>
      </c>
      <c r="AJ22" s="127">
        <f t="shared" si="2"/>
        <v>0</v>
      </c>
    </row>
    <row r="23" spans="1:37" x14ac:dyDescent="0.2">
      <c r="A23" s="45">
        <v>21</v>
      </c>
      <c r="B23" s="252" t="s">
        <v>254</v>
      </c>
      <c r="C23" s="125">
        <f>SUM('62'!F3)</f>
        <v>0</v>
      </c>
      <c r="D23" s="125">
        <f>SUM('62'!F4)</f>
        <v>0</v>
      </c>
      <c r="E23" s="125">
        <f>SUM('62'!F5)</f>
        <v>0</v>
      </c>
      <c r="F23" s="125">
        <f>SUM('62'!F6)</f>
        <v>0</v>
      </c>
      <c r="G23" s="129">
        <f>SUM('62'!F21)</f>
        <v>0</v>
      </c>
      <c r="H23" s="129">
        <f>SUM('62'!F23)</f>
        <v>0</v>
      </c>
      <c r="I23" s="125">
        <f>SUM('62'!F15)</f>
        <v>0</v>
      </c>
      <c r="K23" s="252" t="s">
        <v>254</v>
      </c>
      <c r="L23" s="125">
        <f>SUM('62'!G3)</f>
        <v>0</v>
      </c>
      <c r="M23" s="125">
        <f>SUM('62'!G4)</f>
        <v>0</v>
      </c>
      <c r="N23" s="125">
        <f>SUM('62'!G5)</f>
        <v>0</v>
      </c>
      <c r="O23" s="125">
        <f>SUM('62'!G6)</f>
        <v>0</v>
      </c>
      <c r="P23" s="129">
        <f>SUM('62'!G21)</f>
        <v>0</v>
      </c>
      <c r="Q23" s="129">
        <f>SUM('62'!G23)</f>
        <v>0</v>
      </c>
      <c r="R23" s="125">
        <f>SUM('62'!G15)</f>
        <v>0</v>
      </c>
      <c r="T23" s="252" t="s">
        <v>254</v>
      </c>
      <c r="U23" s="125">
        <f>SUM('62'!H3)</f>
        <v>0</v>
      </c>
      <c r="V23" s="125">
        <f>SUM('62'!H4)</f>
        <v>0</v>
      </c>
      <c r="W23" s="125">
        <f>SUM('62'!H5)</f>
        <v>0</v>
      </c>
      <c r="X23" s="125">
        <f>SUM('62'!H6)</f>
        <v>0</v>
      </c>
      <c r="Y23" s="129">
        <f>SUM('62'!H21)</f>
        <v>0</v>
      </c>
      <c r="Z23" s="129">
        <f>SUM('62'!H23)</f>
        <v>0</v>
      </c>
      <c r="AA23" s="125">
        <f>SUM('62'!H15)</f>
        <v>0</v>
      </c>
      <c r="AC23" s="252" t="s">
        <v>254</v>
      </c>
      <c r="AD23" s="127">
        <f t="shared" si="2"/>
        <v>0</v>
      </c>
      <c r="AE23" s="127">
        <f t="shared" si="2"/>
        <v>0</v>
      </c>
      <c r="AF23" s="127">
        <f t="shared" si="2"/>
        <v>0</v>
      </c>
      <c r="AG23" s="127">
        <f t="shared" si="2"/>
        <v>0</v>
      </c>
      <c r="AH23" s="127">
        <f t="shared" si="2"/>
        <v>0</v>
      </c>
      <c r="AI23" s="127">
        <f t="shared" si="2"/>
        <v>0</v>
      </c>
      <c r="AJ23" s="127">
        <f t="shared" si="2"/>
        <v>0</v>
      </c>
    </row>
    <row r="24" spans="1:37" ht="14.25" customHeight="1" x14ac:dyDescent="0.2">
      <c r="B24" s="249" t="s">
        <v>128</v>
      </c>
      <c r="C24" s="254">
        <f t="shared" ref="C24:H24" si="3">SUM(C3:C23)</f>
        <v>0</v>
      </c>
      <c r="D24" s="254">
        <f t="shared" si="3"/>
        <v>0</v>
      </c>
      <c r="E24" s="254">
        <f t="shared" si="3"/>
        <v>0</v>
      </c>
      <c r="F24" s="254">
        <f t="shared" si="3"/>
        <v>0</v>
      </c>
      <c r="G24" s="254">
        <f t="shared" si="3"/>
        <v>0</v>
      </c>
      <c r="H24" s="254">
        <f t="shared" si="3"/>
        <v>0</v>
      </c>
      <c r="I24" s="254">
        <f>SUM(I3:I23)</f>
        <v>0</v>
      </c>
      <c r="J24" s="200"/>
      <c r="K24" s="249" t="s">
        <v>128</v>
      </c>
      <c r="L24" s="254">
        <f t="shared" ref="L24:Q24" si="4">SUM(L3:L23)</f>
        <v>0</v>
      </c>
      <c r="M24" s="254">
        <f t="shared" si="4"/>
        <v>0</v>
      </c>
      <c r="N24" s="254">
        <f t="shared" si="4"/>
        <v>0</v>
      </c>
      <c r="O24" s="254">
        <f t="shared" si="4"/>
        <v>0</v>
      </c>
      <c r="P24" s="254">
        <f>SUM(P3:P23)</f>
        <v>0</v>
      </c>
      <c r="Q24" s="254">
        <f t="shared" si="4"/>
        <v>0</v>
      </c>
      <c r="R24" s="254">
        <f t="shared" ref="R24" si="5">SUM(R3:R23)</f>
        <v>0</v>
      </c>
      <c r="S24" s="200"/>
      <c r="T24" s="249" t="s">
        <v>128</v>
      </c>
      <c r="U24" s="254">
        <f t="shared" ref="U24:Z24" si="6">SUM(U3:U23)</f>
        <v>0</v>
      </c>
      <c r="V24" s="254">
        <f t="shared" si="6"/>
        <v>0</v>
      </c>
      <c r="W24" s="254">
        <f t="shared" si="6"/>
        <v>0</v>
      </c>
      <c r="X24" s="254">
        <f t="shared" si="6"/>
        <v>0</v>
      </c>
      <c r="Y24" s="254">
        <f t="shared" si="6"/>
        <v>0</v>
      </c>
      <c r="Z24" s="254">
        <f t="shared" si="6"/>
        <v>0</v>
      </c>
      <c r="AA24" s="254">
        <f>SUM(AA3:AA23)</f>
        <v>0</v>
      </c>
      <c r="AC24" s="302" t="s">
        <v>128</v>
      </c>
      <c r="AD24" s="303">
        <f t="shared" si="2"/>
        <v>0</v>
      </c>
      <c r="AE24" s="303">
        <f t="shared" si="2"/>
        <v>0</v>
      </c>
      <c r="AF24" s="303">
        <f t="shared" si="2"/>
        <v>0</v>
      </c>
      <c r="AG24" s="303">
        <f t="shared" si="2"/>
        <v>0</v>
      </c>
      <c r="AH24" s="303">
        <f t="shared" si="2"/>
        <v>0</v>
      </c>
      <c r="AI24" s="303">
        <f t="shared" si="2"/>
        <v>0</v>
      </c>
      <c r="AJ24" s="303">
        <f t="shared" si="2"/>
        <v>0</v>
      </c>
    </row>
    <row r="25" spans="1:37" x14ac:dyDescent="0.2">
      <c r="B25" s="44" t="s">
        <v>456</v>
      </c>
      <c r="K25" s="316" t="s">
        <v>325</v>
      </c>
      <c r="T25" s="44" t="s">
        <v>457</v>
      </c>
    </row>
    <row r="26" spans="1:37" x14ac:dyDescent="0.2">
      <c r="B26" s="550"/>
      <c r="C26" s="249" t="s">
        <v>127</v>
      </c>
      <c r="D26" s="249" t="s">
        <v>126</v>
      </c>
      <c r="E26" s="249" t="s">
        <v>129</v>
      </c>
      <c r="F26" s="249" t="s">
        <v>130</v>
      </c>
      <c r="G26" s="314" t="s">
        <v>132</v>
      </c>
      <c r="H26" s="249" t="s">
        <v>131</v>
      </c>
      <c r="I26" s="249" t="s">
        <v>274</v>
      </c>
      <c r="K26" s="550"/>
      <c r="L26" s="249" t="s">
        <v>127</v>
      </c>
      <c r="M26" s="249" t="s">
        <v>126</v>
      </c>
      <c r="N26" s="249" t="s">
        <v>129</v>
      </c>
      <c r="O26" s="249" t="s">
        <v>130</v>
      </c>
      <c r="P26" s="314" t="s">
        <v>132</v>
      </c>
      <c r="Q26" s="249" t="s">
        <v>131</v>
      </c>
      <c r="R26" s="249" t="s">
        <v>274</v>
      </c>
      <c r="T26" s="550"/>
      <c r="U26" s="249" t="s">
        <v>127</v>
      </c>
      <c r="V26" s="249" t="s">
        <v>126</v>
      </c>
      <c r="W26" s="249" t="s">
        <v>129</v>
      </c>
      <c r="X26" s="249" t="s">
        <v>130</v>
      </c>
      <c r="Y26" s="314" t="s">
        <v>132</v>
      </c>
      <c r="Z26" s="249" t="s">
        <v>131</v>
      </c>
      <c r="AA26" s="249" t="s">
        <v>274</v>
      </c>
      <c r="AD26" s="181" t="s">
        <v>448</v>
      </c>
      <c r="AF26" s="96"/>
      <c r="AG26" s="181" t="s">
        <v>449</v>
      </c>
      <c r="AI26" s="96"/>
    </row>
    <row r="27" spans="1:37" x14ac:dyDescent="0.2">
      <c r="B27" s="125">
        <v>1801</v>
      </c>
      <c r="C27" s="255">
        <f>SUM('01'!E3)/1000</f>
        <v>0</v>
      </c>
      <c r="D27" s="255">
        <f>SUM('01'!E4)/1000</f>
        <v>0</v>
      </c>
      <c r="E27" s="255">
        <f>SUM('01'!E5)/1000</f>
        <v>0</v>
      </c>
      <c r="F27" s="255">
        <f>SUM('01'!E6)/1000</f>
        <v>0</v>
      </c>
      <c r="G27" s="255">
        <f>SUM('01'!E21)/1000</f>
        <v>0</v>
      </c>
      <c r="H27" s="255">
        <f>SUM('01'!E23)/1000</f>
        <v>0</v>
      </c>
      <c r="I27" s="255">
        <f>SUM('01'!E15)/1000</f>
        <v>0</v>
      </c>
      <c r="J27" s="45">
        <v>1</v>
      </c>
      <c r="K27" s="125">
        <v>1801</v>
      </c>
      <c r="L27" s="126" t="e">
        <f t="shared" ref="L27:R33" si="7">AD3/U3</f>
        <v>#DIV/0!</v>
      </c>
      <c r="M27" s="126" t="e">
        <f t="shared" si="7"/>
        <v>#DIV/0!</v>
      </c>
      <c r="N27" s="126" t="e">
        <f t="shared" si="7"/>
        <v>#DIV/0!</v>
      </c>
      <c r="O27" s="126" t="e">
        <f t="shared" si="7"/>
        <v>#DIV/0!</v>
      </c>
      <c r="P27" s="126" t="e">
        <f>AH3/Y3</f>
        <v>#DIV/0!</v>
      </c>
      <c r="Q27" s="126" t="e">
        <f t="shared" si="7"/>
        <v>#DIV/0!</v>
      </c>
      <c r="R27" s="126" t="e">
        <f t="shared" si="7"/>
        <v>#DIV/0!</v>
      </c>
      <c r="T27" s="125">
        <v>1801</v>
      </c>
      <c r="U27" s="130" t="e">
        <f t="shared" ref="U27:U33" si="8">SUM(U3/L3)*100</f>
        <v>#DIV/0!</v>
      </c>
      <c r="V27" s="130" t="e">
        <f t="shared" ref="V27:V33" si="9">SUM(V3/M3)*100</f>
        <v>#DIV/0!</v>
      </c>
      <c r="W27" s="130" t="e">
        <f t="shared" ref="W27:W33" si="10">SUM(W3/N3)*100</f>
        <v>#DIV/0!</v>
      </c>
      <c r="X27" s="130" t="e">
        <f t="shared" ref="X27:X33" si="11">SUM(X3/O3)*100</f>
        <v>#DIV/0!</v>
      </c>
      <c r="Y27" s="130" t="e">
        <f>SUM(Y3/P3)*100</f>
        <v>#DIV/0!</v>
      </c>
      <c r="Z27" s="130" t="e">
        <f t="shared" ref="Z27:AA33" si="12">SUM(Z3/Q3)*100</f>
        <v>#DIV/0!</v>
      </c>
      <c r="AA27" s="130" t="e">
        <f>SUM(AA3/R3)*100</f>
        <v>#DIV/0!</v>
      </c>
      <c r="AD27" s="221" t="s">
        <v>149</v>
      </c>
      <c r="AE27" s="220">
        <f>SUM(C24:H24)</f>
        <v>0</v>
      </c>
      <c r="AF27" s="308">
        <f>SUM(AD24:AI24)</f>
        <v>0</v>
      </c>
      <c r="AG27" s="221" t="s">
        <v>149</v>
      </c>
      <c r="AH27" s="220">
        <f>SUM(C24:I24)</f>
        <v>0</v>
      </c>
      <c r="AI27" s="311">
        <f>SUM(AD24:AJ24)</f>
        <v>0</v>
      </c>
      <c r="AJ27" s="256"/>
      <c r="AK27" s="256"/>
    </row>
    <row r="28" spans="1:37" x14ac:dyDescent="0.2">
      <c r="B28" s="125">
        <v>1802</v>
      </c>
      <c r="C28" s="255">
        <f>SUM('02'!E3)/1000</f>
        <v>0</v>
      </c>
      <c r="D28" s="255">
        <f>SUM('02'!E4)/1000</f>
        <v>0</v>
      </c>
      <c r="E28" s="255">
        <f>SUM('02'!E5)/1000</f>
        <v>0</v>
      </c>
      <c r="F28" s="255">
        <f>SUM('02'!E6)/1000</f>
        <v>0</v>
      </c>
      <c r="G28" s="255">
        <f>SUM('02'!E21)/1000</f>
        <v>0</v>
      </c>
      <c r="H28" s="255">
        <f>SUM('02'!E23)/1000</f>
        <v>0</v>
      </c>
      <c r="I28" s="255">
        <f>SUM('02'!E15)/1000</f>
        <v>0</v>
      </c>
      <c r="J28" s="45">
        <v>2</v>
      </c>
      <c r="K28" s="125">
        <v>1802</v>
      </c>
      <c r="L28" s="126" t="e">
        <f t="shared" si="7"/>
        <v>#DIV/0!</v>
      </c>
      <c r="M28" s="126" t="e">
        <f t="shared" si="7"/>
        <v>#DIV/0!</v>
      </c>
      <c r="N28" s="126" t="e">
        <f t="shared" si="7"/>
        <v>#DIV/0!</v>
      </c>
      <c r="O28" s="126" t="e">
        <f t="shared" si="7"/>
        <v>#DIV/0!</v>
      </c>
      <c r="P28" s="126" t="e">
        <f t="shared" si="7"/>
        <v>#DIV/0!</v>
      </c>
      <c r="Q28" s="126" t="e">
        <f t="shared" si="7"/>
        <v>#DIV/0!</v>
      </c>
      <c r="R28" s="126" t="e">
        <f t="shared" si="7"/>
        <v>#DIV/0!</v>
      </c>
      <c r="T28" s="125">
        <v>1802</v>
      </c>
      <c r="U28" s="130" t="e">
        <f t="shared" si="8"/>
        <v>#DIV/0!</v>
      </c>
      <c r="V28" s="130" t="e">
        <f t="shared" si="9"/>
        <v>#DIV/0!</v>
      </c>
      <c r="W28" s="130" t="e">
        <f t="shared" si="10"/>
        <v>#DIV/0!</v>
      </c>
      <c r="X28" s="130" t="e">
        <f t="shared" si="11"/>
        <v>#DIV/0!</v>
      </c>
      <c r="Y28" s="130" t="e">
        <f t="shared" ref="Y28:Y33" si="13">SUM(Y4/P4)*100</f>
        <v>#DIV/0!</v>
      </c>
      <c r="Z28" s="130" t="e">
        <f t="shared" si="12"/>
        <v>#DIV/0!</v>
      </c>
      <c r="AA28" s="130" t="e">
        <f t="shared" si="12"/>
        <v>#DIV/0!</v>
      </c>
      <c r="AD28" s="221" t="s">
        <v>150</v>
      </c>
      <c r="AE28" s="220">
        <f>SUM(L24:Q24)</f>
        <v>0</v>
      </c>
      <c r="AF28" s="309">
        <f>SUM(C50:H50)</f>
        <v>0</v>
      </c>
      <c r="AG28" s="221" t="s">
        <v>150</v>
      </c>
      <c r="AH28" s="220">
        <f>SUM(L24:R24)</f>
        <v>0</v>
      </c>
      <c r="AI28" s="309">
        <f>SUM(C50:I50)</f>
        <v>0</v>
      </c>
      <c r="AJ28" s="256"/>
      <c r="AK28" s="256"/>
    </row>
    <row r="29" spans="1:37" x14ac:dyDescent="0.2">
      <c r="B29" s="125">
        <v>1803</v>
      </c>
      <c r="C29" s="255">
        <f>SUM('03'!E3)/1000</f>
        <v>0</v>
      </c>
      <c r="D29" s="255">
        <f>SUM('03'!E4)/1000</f>
        <v>0</v>
      </c>
      <c r="E29" s="255">
        <f>SUM('03'!E5)/1000</f>
        <v>0</v>
      </c>
      <c r="F29" s="255">
        <f>SUM('03'!E6)/1000</f>
        <v>0</v>
      </c>
      <c r="G29" s="255">
        <f>SUM('03'!E21)/1000</f>
        <v>0</v>
      </c>
      <c r="H29" s="255">
        <f>SUM('03'!E23)/1000</f>
        <v>0</v>
      </c>
      <c r="I29" s="255">
        <f>SUM('03'!E15)/1000</f>
        <v>0</v>
      </c>
      <c r="J29" s="45">
        <v>3</v>
      </c>
      <c r="K29" s="125">
        <v>1803</v>
      </c>
      <c r="L29" s="126" t="e">
        <f t="shared" si="7"/>
        <v>#DIV/0!</v>
      </c>
      <c r="M29" s="126" t="e">
        <f t="shared" si="7"/>
        <v>#DIV/0!</v>
      </c>
      <c r="N29" s="126" t="e">
        <f t="shared" si="7"/>
        <v>#DIV/0!</v>
      </c>
      <c r="O29" s="126" t="e">
        <f t="shared" si="7"/>
        <v>#DIV/0!</v>
      </c>
      <c r="P29" s="126" t="e">
        <f t="shared" si="7"/>
        <v>#DIV/0!</v>
      </c>
      <c r="Q29" s="126" t="e">
        <f t="shared" si="7"/>
        <v>#DIV/0!</v>
      </c>
      <c r="R29" s="126" t="e">
        <f t="shared" si="7"/>
        <v>#DIV/0!</v>
      </c>
      <c r="T29" s="125">
        <v>1803</v>
      </c>
      <c r="U29" s="130" t="e">
        <f t="shared" si="8"/>
        <v>#DIV/0!</v>
      </c>
      <c r="V29" s="130" t="e">
        <f t="shared" si="9"/>
        <v>#DIV/0!</v>
      </c>
      <c r="W29" s="130" t="e">
        <f t="shared" si="10"/>
        <v>#DIV/0!</v>
      </c>
      <c r="X29" s="130" t="e">
        <f t="shared" si="11"/>
        <v>#DIV/0!</v>
      </c>
      <c r="Y29" s="130" t="e">
        <f t="shared" si="13"/>
        <v>#DIV/0!</v>
      </c>
      <c r="Z29" s="130" t="e">
        <f t="shared" si="12"/>
        <v>#DIV/0!</v>
      </c>
      <c r="AA29" s="130" t="e">
        <f t="shared" si="12"/>
        <v>#DIV/0!</v>
      </c>
      <c r="AD29" s="244" t="s">
        <v>151</v>
      </c>
      <c r="AE29" s="220">
        <f>SUM(U24:Z24)</f>
        <v>0</v>
      </c>
      <c r="AF29" s="308">
        <f>SUM(AF27)/1000</f>
        <v>0</v>
      </c>
      <c r="AG29" s="244" t="s">
        <v>151</v>
      </c>
      <c r="AH29" s="220">
        <f>SUM(U24:AA24)</f>
        <v>0</v>
      </c>
      <c r="AI29" s="96">
        <f>SUM(AI27)/1000</f>
        <v>0</v>
      </c>
      <c r="AJ29" s="256"/>
      <c r="AK29" s="256"/>
    </row>
    <row r="30" spans="1:37" x14ac:dyDescent="0.2">
      <c r="B30" s="125">
        <v>1804</v>
      </c>
      <c r="C30" s="255">
        <f>SUM('04'!E3)/1000</f>
        <v>0</v>
      </c>
      <c r="D30" s="255">
        <f>SUM('04'!E4)/1000</f>
        <v>0</v>
      </c>
      <c r="E30" s="255">
        <f>SUM('04'!E5)/1000</f>
        <v>0</v>
      </c>
      <c r="F30" s="255">
        <f>SUM('04'!E6)/1000</f>
        <v>0</v>
      </c>
      <c r="G30" s="255">
        <f>SUM('04'!E21)/1000</f>
        <v>0</v>
      </c>
      <c r="H30" s="255">
        <f>SUM('04'!E23)/1000</f>
        <v>0</v>
      </c>
      <c r="I30" s="255">
        <f>SUM('04'!E15)/1000</f>
        <v>0</v>
      </c>
      <c r="J30" s="45">
        <v>4</v>
      </c>
      <c r="K30" s="125">
        <v>1804</v>
      </c>
      <c r="L30" s="126" t="e">
        <f t="shared" si="7"/>
        <v>#DIV/0!</v>
      </c>
      <c r="M30" s="126" t="e">
        <f t="shared" si="7"/>
        <v>#DIV/0!</v>
      </c>
      <c r="N30" s="126" t="e">
        <f t="shared" si="7"/>
        <v>#DIV/0!</v>
      </c>
      <c r="O30" s="126" t="e">
        <f t="shared" si="7"/>
        <v>#DIV/0!</v>
      </c>
      <c r="P30" s="126" t="e">
        <f t="shared" si="7"/>
        <v>#DIV/0!</v>
      </c>
      <c r="Q30" s="126" t="e">
        <f t="shared" si="7"/>
        <v>#DIV/0!</v>
      </c>
      <c r="R30" s="126" t="e">
        <f t="shared" si="7"/>
        <v>#DIV/0!</v>
      </c>
      <c r="T30" s="125">
        <v>1804</v>
      </c>
      <c r="U30" s="130" t="e">
        <f t="shared" si="8"/>
        <v>#DIV/0!</v>
      </c>
      <c r="V30" s="130" t="e">
        <f t="shared" si="9"/>
        <v>#DIV/0!</v>
      </c>
      <c r="W30" s="130" t="e">
        <f t="shared" si="10"/>
        <v>#DIV/0!</v>
      </c>
      <c r="X30" s="130" t="e">
        <f t="shared" si="11"/>
        <v>#DIV/0!</v>
      </c>
      <c r="Y30" s="130" t="e">
        <f t="shared" si="13"/>
        <v>#DIV/0!</v>
      </c>
      <c r="Z30" s="130" t="e">
        <f t="shared" si="12"/>
        <v>#DIV/0!</v>
      </c>
      <c r="AA30" s="130" t="e">
        <f t="shared" si="12"/>
        <v>#DIV/0!</v>
      </c>
      <c r="AD30" s="244" t="s">
        <v>152</v>
      </c>
      <c r="AE30" s="264">
        <f>SUM(C50:H50)</f>
        <v>0</v>
      </c>
      <c r="AF30" s="96"/>
      <c r="AG30" s="244" t="s">
        <v>152</v>
      </c>
      <c r="AH30" s="264">
        <f>SUM(C50:I50)</f>
        <v>0</v>
      </c>
      <c r="AI30" s="307"/>
      <c r="AJ30" s="256"/>
      <c r="AK30" s="256"/>
    </row>
    <row r="31" spans="1:37" x14ac:dyDescent="0.2">
      <c r="B31" s="125">
        <v>1805</v>
      </c>
      <c r="C31" s="255">
        <f>SUM('05'!E3)/1000</f>
        <v>0</v>
      </c>
      <c r="D31" s="255">
        <f>SUM('05'!E4)/1000</f>
        <v>0</v>
      </c>
      <c r="E31" s="255">
        <f>SUM('05'!E5)/1000</f>
        <v>0</v>
      </c>
      <c r="F31" s="255">
        <f>SUM('05'!E6)/1000</f>
        <v>0</v>
      </c>
      <c r="G31" s="255">
        <f>SUM('05'!E21)/1000</f>
        <v>0</v>
      </c>
      <c r="H31" s="255">
        <f>SUM('05'!E23)/1000</f>
        <v>0</v>
      </c>
      <c r="I31" s="255">
        <f>SUM('05'!E15)/1000</f>
        <v>0</v>
      </c>
      <c r="J31" s="45">
        <v>5</v>
      </c>
      <c r="K31" s="125">
        <v>1805</v>
      </c>
      <c r="L31" s="126" t="e">
        <f t="shared" si="7"/>
        <v>#DIV/0!</v>
      </c>
      <c r="M31" s="126" t="e">
        <f t="shared" si="7"/>
        <v>#DIV/0!</v>
      </c>
      <c r="N31" s="126" t="e">
        <f t="shared" si="7"/>
        <v>#DIV/0!</v>
      </c>
      <c r="O31" s="126" t="e">
        <f t="shared" si="7"/>
        <v>#DIV/0!</v>
      </c>
      <c r="P31" s="126" t="e">
        <f t="shared" si="7"/>
        <v>#DIV/0!</v>
      </c>
      <c r="Q31" s="126" t="e">
        <f t="shared" si="7"/>
        <v>#DIV/0!</v>
      </c>
      <c r="R31" s="126" t="e">
        <f t="shared" si="7"/>
        <v>#DIV/0!</v>
      </c>
      <c r="T31" s="125">
        <v>1805</v>
      </c>
      <c r="U31" s="130" t="e">
        <f t="shared" si="8"/>
        <v>#DIV/0!</v>
      </c>
      <c r="V31" s="130" t="e">
        <f t="shared" si="9"/>
        <v>#DIV/0!</v>
      </c>
      <c r="W31" s="130" t="e">
        <f t="shared" si="10"/>
        <v>#DIV/0!</v>
      </c>
      <c r="X31" s="130" t="e">
        <f t="shared" si="11"/>
        <v>#DIV/0!</v>
      </c>
      <c r="Y31" s="130" t="e">
        <f t="shared" si="13"/>
        <v>#DIV/0!</v>
      </c>
      <c r="Z31" s="130" t="e">
        <f t="shared" si="12"/>
        <v>#DIV/0!</v>
      </c>
      <c r="AA31" s="130" t="e">
        <f t="shared" si="12"/>
        <v>#DIV/0!</v>
      </c>
      <c r="AD31" s="244" t="s">
        <v>153</v>
      </c>
      <c r="AE31" s="264" t="e">
        <f>SUM(L50:Q50)</f>
        <v>#DIV/0!</v>
      </c>
      <c r="AF31" s="310"/>
      <c r="AG31" s="244" t="s">
        <v>153</v>
      </c>
      <c r="AH31" s="264" t="e">
        <f>SUM(L50:R50)</f>
        <v>#DIV/0!</v>
      </c>
      <c r="AI31" s="312"/>
      <c r="AJ31" s="256"/>
      <c r="AK31" s="256"/>
    </row>
    <row r="32" spans="1:37" x14ac:dyDescent="0.2">
      <c r="B32" s="125">
        <v>1806</v>
      </c>
      <c r="C32" s="255">
        <f>SUM('06'!E3)/1000</f>
        <v>0</v>
      </c>
      <c r="D32" s="255">
        <f>SUM('06'!E4)/1000</f>
        <v>0</v>
      </c>
      <c r="E32" s="255">
        <f>SUM('06'!E5)/1000</f>
        <v>0</v>
      </c>
      <c r="F32" s="255">
        <f>SUM('06'!E6)/1000</f>
        <v>0</v>
      </c>
      <c r="G32" s="255">
        <f>SUM('06'!E21)/1000</f>
        <v>0</v>
      </c>
      <c r="H32" s="255">
        <f>SUM('06'!E23)/1000</f>
        <v>0</v>
      </c>
      <c r="I32" s="255">
        <f>SUM('06'!E15)/1000</f>
        <v>0</v>
      </c>
      <c r="J32" s="45">
        <v>6</v>
      </c>
      <c r="K32" s="125">
        <v>1806</v>
      </c>
      <c r="L32" s="126" t="e">
        <f t="shared" si="7"/>
        <v>#DIV/0!</v>
      </c>
      <c r="M32" s="126" t="e">
        <f t="shared" si="7"/>
        <v>#DIV/0!</v>
      </c>
      <c r="N32" s="126" t="e">
        <f t="shared" si="7"/>
        <v>#DIV/0!</v>
      </c>
      <c r="O32" s="126" t="e">
        <f t="shared" si="7"/>
        <v>#DIV/0!</v>
      </c>
      <c r="P32" s="126" t="e">
        <f t="shared" si="7"/>
        <v>#DIV/0!</v>
      </c>
      <c r="Q32" s="126" t="e">
        <f t="shared" si="7"/>
        <v>#DIV/0!</v>
      </c>
      <c r="R32" s="126" t="e">
        <f t="shared" si="7"/>
        <v>#DIV/0!</v>
      </c>
      <c r="T32" s="125">
        <v>1806</v>
      </c>
      <c r="U32" s="130" t="e">
        <f t="shared" si="8"/>
        <v>#DIV/0!</v>
      </c>
      <c r="V32" s="130" t="e">
        <f t="shared" si="9"/>
        <v>#DIV/0!</v>
      </c>
      <c r="W32" s="130" t="e">
        <f t="shared" si="10"/>
        <v>#DIV/0!</v>
      </c>
      <c r="X32" s="130" t="e">
        <f t="shared" si="11"/>
        <v>#DIV/0!</v>
      </c>
      <c r="Y32" s="130" t="e">
        <f t="shared" si="13"/>
        <v>#DIV/0!</v>
      </c>
      <c r="Z32" s="130" t="e">
        <f t="shared" si="12"/>
        <v>#DIV/0!</v>
      </c>
      <c r="AA32" s="130" t="e">
        <f t="shared" si="12"/>
        <v>#DIV/0!</v>
      </c>
      <c r="AD32" s="244" t="s">
        <v>154</v>
      </c>
      <c r="AE32" s="264">
        <f>SUM(AD24:AI24)</f>
        <v>0</v>
      </c>
      <c r="AF32" s="96"/>
      <c r="AG32" s="244" t="s">
        <v>154</v>
      </c>
      <c r="AH32" s="264">
        <f>SUM(AD24:AJ24)</f>
        <v>0</v>
      </c>
      <c r="AI32" s="307"/>
      <c r="AJ32" s="256"/>
      <c r="AK32" s="256"/>
    </row>
    <row r="33" spans="2:37" x14ac:dyDescent="0.2">
      <c r="B33" s="252" t="s">
        <v>255</v>
      </c>
      <c r="C33" s="255">
        <f>SUM('07'!E3)/1000</f>
        <v>0</v>
      </c>
      <c r="D33" s="255">
        <f>SUM('07'!E4)/1000</f>
        <v>0</v>
      </c>
      <c r="E33" s="255">
        <f>SUM('07'!E5)/1000</f>
        <v>0</v>
      </c>
      <c r="F33" s="255">
        <f>SUM('07'!E6)/1000</f>
        <v>0</v>
      </c>
      <c r="G33" s="255">
        <f>SUM('07'!E21)/1000</f>
        <v>0</v>
      </c>
      <c r="H33" s="255">
        <f>SUM('07'!E23)/1000</f>
        <v>0</v>
      </c>
      <c r="I33" s="255">
        <f>SUM('07'!E15)/1000</f>
        <v>0</v>
      </c>
      <c r="J33" s="45">
        <v>7</v>
      </c>
      <c r="K33" s="252" t="s">
        <v>255</v>
      </c>
      <c r="L33" s="126" t="e">
        <f t="shared" si="7"/>
        <v>#DIV/0!</v>
      </c>
      <c r="M33" s="126" t="e">
        <f t="shared" si="7"/>
        <v>#DIV/0!</v>
      </c>
      <c r="N33" s="126" t="e">
        <f t="shared" si="7"/>
        <v>#DIV/0!</v>
      </c>
      <c r="O33" s="126" t="e">
        <f t="shared" si="7"/>
        <v>#DIV/0!</v>
      </c>
      <c r="P33" s="126" t="e">
        <f t="shared" si="7"/>
        <v>#DIV/0!</v>
      </c>
      <c r="Q33" s="126" t="e">
        <f t="shared" si="7"/>
        <v>#DIV/0!</v>
      </c>
      <c r="R33" s="126" t="e">
        <f t="shared" si="7"/>
        <v>#DIV/0!</v>
      </c>
      <c r="T33" s="252" t="s">
        <v>255</v>
      </c>
      <c r="U33" s="130" t="e">
        <f t="shared" si="8"/>
        <v>#DIV/0!</v>
      </c>
      <c r="V33" s="130" t="e">
        <f t="shared" si="9"/>
        <v>#DIV/0!</v>
      </c>
      <c r="W33" s="130" t="e">
        <f t="shared" si="10"/>
        <v>#DIV/0!</v>
      </c>
      <c r="X33" s="130" t="e">
        <f t="shared" si="11"/>
        <v>#DIV/0!</v>
      </c>
      <c r="Y33" s="130" t="e">
        <f t="shared" si="13"/>
        <v>#DIV/0!</v>
      </c>
      <c r="Z33" s="130" t="e">
        <f t="shared" si="12"/>
        <v>#DIV/0!</v>
      </c>
      <c r="AA33" s="130" t="e">
        <f t="shared" si="12"/>
        <v>#DIV/0!</v>
      </c>
      <c r="AI33" s="257"/>
      <c r="AJ33" s="256"/>
      <c r="AK33" s="256"/>
    </row>
    <row r="34" spans="2:37" x14ac:dyDescent="0.2">
      <c r="B34" s="249"/>
      <c r="C34" s="258"/>
      <c r="D34" s="258"/>
      <c r="E34" s="258"/>
      <c r="F34" s="258"/>
      <c r="G34" s="258"/>
      <c r="H34" s="258"/>
      <c r="I34" s="258"/>
      <c r="K34" s="249"/>
      <c r="L34" s="259"/>
      <c r="M34" s="259"/>
      <c r="N34" s="259"/>
      <c r="O34" s="259"/>
      <c r="P34" s="259"/>
      <c r="Q34" s="259"/>
      <c r="R34" s="259"/>
      <c r="T34" s="249"/>
      <c r="U34" s="260"/>
      <c r="V34" s="260"/>
      <c r="W34" s="260"/>
      <c r="X34" s="260"/>
      <c r="Y34" s="260"/>
      <c r="Z34" s="260"/>
      <c r="AA34" s="260"/>
      <c r="AD34" s="221">
        <v>1</v>
      </c>
      <c r="AE34" s="797" t="s">
        <v>1</v>
      </c>
      <c r="AF34" s="798"/>
      <c r="AG34" s="798"/>
      <c r="AH34" s="799"/>
      <c r="AI34" s="257"/>
      <c r="AJ34" s="256"/>
      <c r="AK34" s="256"/>
    </row>
    <row r="35" spans="2:37" x14ac:dyDescent="0.2">
      <c r="B35" s="125">
        <v>1808</v>
      </c>
      <c r="C35" s="255">
        <f>SUM('08'!E3)/1000</f>
        <v>0</v>
      </c>
      <c r="D35" s="255">
        <f>SUM('08'!E4)/1000</f>
        <v>0</v>
      </c>
      <c r="E35" s="255">
        <f>SUM('08'!E5)/1000</f>
        <v>0</v>
      </c>
      <c r="F35" s="255">
        <f>SUM('08'!E6)/1000</f>
        <v>0</v>
      </c>
      <c r="G35" s="255">
        <f>SUM('08'!E21)/1000</f>
        <v>0</v>
      </c>
      <c r="H35" s="261">
        <f>SUM('08'!E23)/1000</f>
        <v>0</v>
      </c>
      <c r="I35" s="255">
        <f>SUM('08'!E15)/1000</f>
        <v>0</v>
      </c>
      <c r="J35" s="45">
        <v>8</v>
      </c>
      <c r="K35" s="125">
        <v>1808</v>
      </c>
      <c r="L35" s="126" t="e">
        <f t="shared" ref="L35:R41" si="14">AD10/U10</f>
        <v>#DIV/0!</v>
      </c>
      <c r="M35" s="126" t="e">
        <f t="shared" si="14"/>
        <v>#DIV/0!</v>
      </c>
      <c r="N35" s="126" t="e">
        <f t="shared" si="14"/>
        <v>#DIV/0!</v>
      </c>
      <c r="O35" s="126" t="e">
        <f t="shared" si="14"/>
        <v>#DIV/0!</v>
      </c>
      <c r="P35" s="126" t="e">
        <f t="shared" si="14"/>
        <v>#DIV/0!</v>
      </c>
      <c r="Q35" s="262" t="e">
        <f t="shared" si="14"/>
        <v>#DIV/0!</v>
      </c>
      <c r="R35" s="126" t="e">
        <f t="shared" si="14"/>
        <v>#DIV/0!</v>
      </c>
      <c r="T35" s="125">
        <v>1808</v>
      </c>
      <c r="U35" s="130" t="e">
        <f t="shared" ref="U35:AA41" si="15">SUM(U10/L10)*100</f>
        <v>#DIV/0!</v>
      </c>
      <c r="V35" s="130" t="e">
        <f t="shared" si="15"/>
        <v>#DIV/0!</v>
      </c>
      <c r="W35" s="130" t="e">
        <f t="shared" si="15"/>
        <v>#DIV/0!</v>
      </c>
      <c r="X35" s="130" t="e">
        <f t="shared" si="15"/>
        <v>#DIV/0!</v>
      </c>
      <c r="Y35" s="130" t="e">
        <f t="shared" si="15"/>
        <v>#DIV/0!</v>
      </c>
      <c r="Z35" s="130" t="e">
        <f t="shared" si="15"/>
        <v>#DIV/0!</v>
      </c>
      <c r="AA35" s="130" t="e">
        <f t="shared" si="15"/>
        <v>#DIV/0!</v>
      </c>
      <c r="AD35" s="221">
        <v>2</v>
      </c>
      <c r="AE35" s="797" t="s">
        <v>2</v>
      </c>
      <c r="AF35" s="798"/>
      <c r="AG35" s="798"/>
      <c r="AH35" s="799"/>
      <c r="AI35" s="257"/>
      <c r="AJ35" s="256"/>
      <c r="AK35" s="256"/>
    </row>
    <row r="36" spans="2:37" x14ac:dyDescent="0.2">
      <c r="B36" s="125">
        <v>1809</v>
      </c>
      <c r="C36" s="255">
        <f>SUM('09'!E3)/1000</f>
        <v>0</v>
      </c>
      <c r="D36" s="255">
        <f>SUM('09'!E4)/1000</f>
        <v>0</v>
      </c>
      <c r="E36" s="255">
        <f>SUM('09'!E5)/1000</f>
        <v>0</v>
      </c>
      <c r="F36" s="255">
        <f>SUM('09'!E6)/1000</f>
        <v>0</v>
      </c>
      <c r="G36" s="255">
        <f>SUM('09'!E21)/1000</f>
        <v>0</v>
      </c>
      <c r="H36" s="261">
        <f>SUM('09'!E23)/1000</f>
        <v>0</v>
      </c>
      <c r="I36" s="255">
        <f>SUM('09'!E15)/1000</f>
        <v>0</v>
      </c>
      <c r="J36" s="45">
        <v>9</v>
      </c>
      <c r="K36" s="125">
        <v>1809</v>
      </c>
      <c r="L36" s="126" t="e">
        <f t="shared" si="14"/>
        <v>#DIV/0!</v>
      </c>
      <c r="M36" s="126" t="e">
        <f t="shared" si="14"/>
        <v>#DIV/0!</v>
      </c>
      <c r="N36" s="126" t="e">
        <f t="shared" si="14"/>
        <v>#DIV/0!</v>
      </c>
      <c r="O36" s="126" t="e">
        <f t="shared" si="14"/>
        <v>#DIV/0!</v>
      </c>
      <c r="P36" s="126" t="e">
        <f t="shared" si="14"/>
        <v>#DIV/0!</v>
      </c>
      <c r="Q36" s="262" t="e">
        <f t="shared" si="14"/>
        <v>#DIV/0!</v>
      </c>
      <c r="R36" s="126" t="e">
        <f t="shared" si="14"/>
        <v>#DIV/0!</v>
      </c>
      <c r="T36" s="125">
        <v>1809</v>
      </c>
      <c r="U36" s="130" t="e">
        <f t="shared" si="15"/>
        <v>#DIV/0!</v>
      </c>
      <c r="V36" s="130" t="e">
        <f t="shared" si="15"/>
        <v>#DIV/0!</v>
      </c>
      <c r="W36" s="130" t="e">
        <f t="shared" si="15"/>
        <v>#DIV/0!</v>
      </c>
      <c r="X36" s="130" t="e">
        <f t="shared" si="15"/>
        <v>#DIV/0!</v>
      </c>
      <c r="Y36" s="130" t="e">
        <f t="shared" si="15"/>
        <v>#DIV/0!</v>
      </c>
      <c r="Z36" s="248" t="e">
        <f>SUM(Z11/Q11)*100</f>
        <v>#DIV/0!</v>
      </c>
      <c r="AA36" s="130" t="e">
        <f t="shared" si="15"/>
        <v>#DIV/0!</v>
      </c>
      <c r="AD36" s="221">
        <v>3</v>
      </c>
      <c r="AE36" s="797" t="s">
        <v>3</v>
      </c>
      <c r="AF36" s="798"/>
      <c r="AG36" s="798"/>
      <c r="AH36" s="799"/>
      <c r="AI36" s="257"/>
      <c r="AJ36" s="256"/>
      <c r="AK36" s="256"/>
    </row>
    <row r="37" spans="2:37" x14ac:dyDescent="0.2">
      <c r="B37" s="125">
        <v>1810</v>
      </c>
      <c r="C37" s="255">
        <f>SUM('10'!E3)/1000</f>
        <v>0</v>
      </c>
      <c r="D37" s="255">
        <f>SUM('10'!E4)/1000</f>
        <v>0</v>
      </c>
      <c r="E37" s="255">
        <f>SUM('10'!E5)/1000</f>
        <v>0</v>
      </c>
      <c r="F37" s="255">
        <f>SUM('10'!E6)/1000</f>
        <v>0</v>
      </c>
      <c r="G37" s="255">
        <f>SUM('10'!E21)/1000</f>
        <v>0</v>
      </c>
      <c r="H37" s="255">
        <f>SUM('10'!E23)/1000</f>
        <v>0</v>
      </c>
      <c r="I37" s="255">
        <f>SUM('10'!E15)/1000</f>
        <v>0</v>
      </c>
      <c r="J37" s="45">
        <v>10</v>
      </c>
      <c r="K37" s="125">
        <v>1810</v>
      </c>
      <c r="L37" s="126" t="e">
        <f t="shared" si="14"/>
        <v>#DIV/0!</v>
      </c>
      <c r="M37" s="126" t="e">
        <f t="shared" si="14"/>
        <v>#DIV/0!</v>
      </c>
      <c r="N37" s="126" t="e">
        <f t="shared" si="14"/>
        <v>#DIV/0!</v>
      </c>
      <c r="O37" s="126" t="e">
        <f t="shared" si="14"/>
        <v>#DIV/0!</v>
      </c>
      <c r="P37" s="126" t="e">
        <f t="shared" si="14"/>
        <v>#DIV/0!</v>
      </c>
      <c r="Q37" s="126" t="e">
        <f t="shared" si="14"/>
        <v>#DIV/0!</v>
      </c>
      <c r="R37" s="126" t="e">
        <f t="shared" si="14"/>
        <v>#DIV/0!</v>
      </c>
      <c r="T37" s="125">
        <v>1810</v>
      </c>
      <c r="U37" s="130" t="e">
        <f t="shared" si="15"/>
        <v>#DIV/0!</v>
      </c>
      <c r="V37" s="130" t="e">
        <f t="shared" si="15"/>
        <v>#DIV/0!</v>
      </c>
      <c r="W37" s="130" t="e">
        <f t="shared" si="15"/>
        <v>#DIV/0!</v>
      </c>
      <c r="X37" s="130" t="e">
        <f t="shared" si="15"/>
        <v>#DIV/0!</v>
      </c>
      <c r="Y37" s="130" t="e">
        <f t="shared" si="15"/>
        <v>#DIV/0!</v>
      </c>
      <c r="Z37" s="130" t="e">
        <f t="shared" si="15"/>
        <v>#DIV/0!</v>
      </c>
      <c r="AA37" s="130" t="e">
        <f t="shared" si="15"/>
        <v>#DIV/0!</v>
      </c>
      <c r="AD37" s="221">
        <v>4</v>
      </c>
      <c r="AE37" s="797" t="s">
        <v>4</v>
      </c>
      <c r="AF37" s="798"/>
      <c r="AG37" s="798"/>
      <c r="AH37" s="799"/>
      <c r="AI37" s="257"/>
      <c r="AJ37" s="256"/>
      <c r="AK37" s="256"/>
    </row>
    <row r="38" spans="2:37" x14ac:dyDescent="0.2">
      <c r="B38" s="125">
        <v>1811</v>
      </c>
      <c r="C38" s="255">
        <f>SUM('11'!E3)/1000</f>
        <v>0</v>
      </c>
      <c r="D38" s="255">
        <f>SUM('11'!E4)/1000</f>
        <v>0</v>
      </c>
      <c r="E38" s="255">
        <f>SUM('11'!E5)/1000</f>
        <v>0</v>
      </c>
      <c r="F38" s="255">
        <f>SUM('11'!E6)/1000</f>
        <v>0</v>
      </c>
      <c r="G38" s="255">
        <f>SUM('11'!E21)/1000</f>
        <v>0</v>
      </c>
      <c r="H38" s="255">
        <f>SUM('11'!E23)/1000</f>
        <v>0</v>
      </c>
      <c r="I38" s="255">
        <f>SUM('11'!E15)/1000</f>
        <v>0</v>
      </c>
      <c r="J38" s="45">
        <v>11</v>
      </c>
      <c r="K38" s="125">
        <v>1811</v>
      </c>
      <c r="L38" s="126" t="e">
        <f t="shared" si="14"/>
        <v>#DIV/0!</v>
      </c>
      <c r="M38" s="126" t="e">
        <f t="shared" si="14"/>
        <v>#DIV/0!</v>
      </c>
      <c r="N38" s="126" t="e">
        <f t="shared" si="14"/>
        <v>#DIV/0!</v>
      </c>
      <c r="O38" s="126" t="e">
        <f t="shared" si="14"/>
        <v>#DIV/0!</v>
      </c>
      <c r="P38" s="126" t="e">
        <f t="shared" si="14"/>
        <v>#DIV/0!</v>
      </c>
      <c r="Q38" s="126" t="e">
        <f t="shared" si="14"/>
        <v>#DIV/0!</v>
      </c>
      <c r="R38" s="126" t="e">
        <f t="shared" si="14"/>
        <v>#DIV/0!</v>
      </c>
      <c r="T38" s="125">
        <v>1811</v>
      </c>
      <c r="U38" s="130" t="e">
        <f t="shared" si="15"/>
        <v>#DIV/0!</v>
      </c>
      <c r="V38" s="130" t="e">
        <f t="shared" si="15"/>
        <v>#DIV/0!</v>
      </c>
      <c r="W38" s="130" t="e">
        <f t="shared" si="15"/>
        <v>#DIV/0!</v>
      </c>
      <c r="X38" s="130" t="e">
        <f t="shared" si="15"/>
        <v>#DIV/0!</v>
      </c>
      <c r="Y38" s="130" t="e">
        <f t="shared" si="15"/>
        <v>#DIV/0!</v>
      </c>
      <c r="Z38" s="130" t="e">
        <f t="shared" si="15"/>
        <v>#DIV/0!</v>
      </c>
      <c r="AA38" s="130" t="e">
        <f t="shared" si="15"/>
        <v>#DIV/0!</v>
      </c>
      <c r="AD38" s="221">
        <v>5</v>
      </c>
      <c r="AE38" s="797" t="s">
        <v>16</v>
      </c>
      <c r="AF38" s="798"/>
      <c r="AG38" s="798"/>
      <c r="AH38" s="799"/>
      <c r="AJ38" s="256"/>
      <c r="AK38" s="256"/>
    </row>
    <row r="39" spans="2:37" x14ac:dyDescent="0.2">
      <c r="B39" s="125">
        <v>1812</v>
      </c>
      <c r="C39" s="255">
        <f>SUM('12'!E3)/1000</f>
        <v>0</v>
      </c>
      <c r="D39" s="255">
        <f>SUM('12'!E4)/1000</f>
        <v>0</v>
      </c>
      <c r="E39" s="255">
        <f>SUM('12'!E5)/1000</f>
        <v>0</v>
      </c>
      <c r="F39" s="255">
        <f>SUM('12'!E6)/1000</f>
        <v>0</v>
      </c>
      <c r="G39" s="255">
        <f>SUM('12'!E21)/1000</f>
        <v>0</v>
      </c>
      <c r="H39" s="255">
        <f>SUM('12'!E23)/1000</f>
        <v>0</v>
      </c>
      <c r="I39" s="255">
        <f>SUM('12'!E15)/1000</f>
        <v>0</v>
      </c>
      <c r="J39" s="45">
        <v>12</v>
      </c>
      <c r="K39" s="125">
        <v>1812</v>
      </c>
      <c r="L39" s="126" t="e">
        <f t="shared" si="14"/>
        <v>#DIV/0!</v>
      </c>
      <c r="M39" s="126" t="e">
        <f t="shared" si="14"/>
        <v>#DIV/0!</v>
      </c>
      <c r="N39" s="126" t="e">
        <f t="shared" si="14"/>
        <v>#DIV/0!</v>
      </c>
      <c r="O39" s="126" t="e">
        <f t="shared" si="14"/>
        <v>#DIV/0!</v>
      </c>
      <c r="P39" s="126" t="e">
        <f t="shared" si="14"/>
        <v>#DIV/0!</v>
      </c>
      <c r="Q39" s="126" t="e">
        <f t="shared" si="14"/>
        <v>#DIV/0!</v>
      </c>
      <c r="R39" s="126" t="e">
        <f t="shared" si="14"/>
        <v>#DIV/0!</v>
      </c>
      <c r="T39" s="125">
        <v>1812</v>
      </c>
      <c r="U39" s="130" t="e">
        <f t="shared" si="15"/>
        <v>#DIV/0!</v>
      </c>
      <c r="V39" s="130" t="e">
        <f t="shared" si="15"/>
        <v>#DIV/0!</v>
      </c>
      <c r="W39" s="130" t="e">
        <f t="shared" si="15"/>
        <v>#DIV/0!</v>
      </c>
      <c r="X39" s="130" t="e">
        <f t="shared" si="15"/>
        <v>#DIV/0!</v>
      </c>
      <c r="Y39" s="130" t="e">
        <f t="shared" si="15"/>
        <v>#DIV/0!</v>
      </c>
      <c r="Z39" s="130" t="e">
        <f t="shared" si="15"/>
        <v>#DIV/0!</v>
      </c>
      <c r="AA39" s="130" t="e">
        <f t="shared" si="15"/>
        <v>#DIV/0!</v>
      </c>
      <c r="AD39" s="221">
        <v>6</v>
      </c>
      <c r="AE39" s="797" t="s">
        <v>17</v>
      </c>
      <c r="AF39" s="798"/>
      <c r="AG39" s="798"/>
      <c r="AH39" s="799"/>
      <c r="AJ39" s="256"/>
      <c r="AK39" s="256"/>
    </row>
    <row r="40" spans="2:37" x14ac:dyDescent="0.2">
      <c r="B40" s="125">
        <v>1814</v>
      </c>
      <c r="C40" s="255">
        <f>SUM('14'!E3)/1000</f>
        <v>0</v>
      </c>
      <c r="D40" s="255">
        <f>SUM('14'!E4)/1000</f>
        <v>0</v>
      </c>
      <c r="E40" s="255">
        <f>SUM('14'!E5)/1000</f>
        <v>0</v>
      </c>
      <c r="F40" s="255">
        <f>SUM('14'!E6)/1000</f>
        <v>0</v>
      </c>
      <c r="G40" s="255">
        <f>SUM('14'!E21)/1000</f>
        <v>0</v>
      </c>
      <c r="H40" s="255">
        <f>SUM('14'!E23)/1000</f>
        <v>0</v>
      </c>
      <c r="I40" s="255">
        <f>SUM('14'!E15)/1000</f>
        <v>0</v>
      </c>
      <c r="J40" s="45">
        <v>13</v>
      </c>
      <c r="K40" s="125">
        <v>1814</v>
      </c>
      <c r="L40" s="126" t="e">
        <f t="shared" si="14"/>
        <v>#DIV/0!</v>
      </c>
      <c r="M40" s="126" t="e">
        <f t="shared" si="14"/>
        <v>#DIV/0!</v>
      </c>
      <c r="N40" s="126" t="e">
        <f t="shared" si="14"/>
        <v>#DIV/0!</v>
      </c>
      <c r="O40" s="126" t="e">
        <f t="shared" si="14"/>
        <v>#DIV/0!</v>
      </c>
      <c r="P40" s="126" t="e">
        <f t="shared" si="14"/>
        <v>#DIV/0!</v>
      </c>
      <c r="Q40" s="126" t="e">
        <f t="shared" si="14"/>
        <v>#DIV/0!</v>
      </c>
      <c r="R40" s="126" t="e">
        <f t="shared" si="14"/>
        <v>#DIV/0!</v>
      </c>
      <c r="T40" s="125">
        <v>1814</v>
      </c>
      <c r="U40" s="130" t="e">
        <f t="shared" si="15"/>
        <v>#DIV/0!</v>
      </c>
      <c r="V40" s="130" t="e">
        <f t="shared" si="15"/>
        <v>#DIV/0!</v>
      </c>
      <c r="W40" s="130" t="e">
        <f t="shared" si="15"/>
        <v>#DIV/0!</v>
      </c>
      <c r="X40" s="130" t="e">
        <f t="shared" si="15"/>
        <v>#DIV/0!</v>
      </c>
      <c r="Y40" s="130" t="e">
        <f t="shared" si="15"/>
        <v>#DIV/0!</v>
      </c>
      <c r="Z40" s="130" t="e">
        <f t="shared" si="15"/>
        <v>#DIV/0!</v>
      </c>
      <c r="AA40" s="130" t="e">
        <f t="shared" si="15"/>
        <v>#DIV/0!</v>
      </c>
      <c r="AD40" s="263">
        <v>7</v>
      </c>
      <c r="AE40" s="794" t="s">
        <v>11</v>
      </c>
      <c r="AF40" s="795"/>
      <c r="AG40" s="795"/>
      <c r="AH40" s="796"/>
      <c r="AJ40" s="256"/>
      <c r="AK40" s="256"/>
    </row>
    <row r="41" spans="2:37" x14ac:dyDescent="0.2">
      <c r="B41" s="125">
        <v>1815</v>
      </c>
      <c r="C41" s="255">
        <f>SUM('15'!E3)/1000</f>
        <v>0</v>
      </c>
      <c r="D41" s="255">
        <f>SUM('15'!E4)/1000</f>
        <v>0</v>
      </c>
      <c r="E41" s="255">
        <f>SUM('15'!E5)/1000</f>
        <v>0</v>
      </c>
      <c r="F41" s="255">
        <f>SUM('15'!E6)/1000</f>
        <v>0</v>
      </c>
      <c r="G41" s="255">
        <f>SUM('15'!E21)/1000</f>
        <v>0</v>
      </c>
      <c r="H41" s="255">
        <f>SUM('15'!E23)/1000</f>
        <v>0</v>
      </c>
      <c r="I41" s="255">
        <f>SUM('15'!E15)/1000</f>
        <v>0</v>
      </c>
      <c r="J41" s="45">
        <v>14</v>
      </c>
      <c r="K41" s="125">
        <v>1815</v>
      </c>
      <c r="L41" s="126" t="e">
        <f t="shared" si="14"/>
        <v>#DIV/0!</v>
      </c>
      <c r="M41" s="126" t="e">
        <f t="shared" si="14"/>
        <v>#DIV/0!</v>
      </c>
      <c r="N41" s="126" t="e">
        <f t="shared" si="14"/>
        <v>#DIV/0!</v>
      </c>
      <c r="O41" s="126" t="e">
        <f t="shared" si="14"/>
        <v>#DIV/0!</v>
      </c>
      <c r="P41" s="126" t="e">
        <f t="shared" si="14"/>
        <v>#DIV/0!</v>
      </c>
      <c r="Q41" s="126" t="e">
        <f t="shared" si="14"/>
        <v>#DIV/0!</v>
      </c>
      <c r="R41" s="126" t="e">
        <f t="shared" si="14"/>
        <v>#DIV/0!</v>
      </c>
      <c r="T41" s="125">
        <v>1815</v>
      </c>
      <c r="U41" s="130" t="e">
        <f t="shared" si="15"/>
        <v>#DIV/0!</v>
      </c>
      <c r="V41" s="130" t="e">
        <f t="shared" si="15"/>
        <v>#DIV/0!</v>
      </c>
      <c r="W41" s="130" t="e">
        <f t="shared" si="15"/>
        <v>#DIV/0!</v>
      </c>
      <c r="X41" s="130" t="e">
        <f t="shared" si="15"/>
        <v>#DIV/0!</v>
      </c>
      <c r="Y41" s="130" t="e">
        <f t="shared" si="15"/>
        <v>#DIV/0!</v>
      </c>
      <c r="Z41" s="130" t="e">
        <f t="shared" si="15"/>
        <v>#DIV/0!</v>
      </c>
      <c r="AA41" s="130" t="e">
        <f t="shared" si="15"/>
        <v>#DIV/0!</v>
      </c>
      <c r="AJ41" s="256"/>
      <c r="AK41" s="256"/>
    </row>
    <row r="42" spans="2:37" x14ac:dyDescent="0.2">
      <c r="B42" s="249"/>
      <c r="C42" s="258"/>
      <c r="D42" s="258"/>
      <c r="E42" s="258"/>
      <c r="F42" s="258"/>
      <c r="G42" s="258"/>
      <c r="H42" s="258"/>
      <c r="I42" s="258"/>
      <c r="K42" s="249"/>
      <c r="L42" s="259"/>
      <c r="M42" s="259"/>
      <c r="N42" s="259"/>
      <c r="O42" s="259"/>
      <c r="P42" s="259"/>
      <c r="Q42" s="259"/>
      <c r="R42" s="259"/>
      <c r="T42" s="249"/>
      <c r="U42" s="260"/>
      <c r="V42" s="260"/>
      <c r="W42" s="260"/>
      <c r="X42" s="260"/>
      <c r="Y42" s="260"/>
      <c r="Z42" s="260"/>
      <c r="AA42" s="260"/>
      <c r="AD42" s="266" t="e">
        <f>SUM(AD24+AE24+AF24+AG24+AH24+AI24+AJ24)/(U24+V24+W24+X24+Y24+Z24+AA24)</f>
        <v>#DIV/0!</v>
      </c>
      <c r="AE42" s="266" t="e">
        <f>SUM(AD24+AE24+AF24+AG24+AH24+AI24)/(U24+V24+W24+X24+Y24+Z24)</f>
        <v>#DIV/0!</v>
      </c>
      <c r="AG42" s="256"/>
      <c r="AJ42" s="256"/>
      <c r="AK42" s="256"/>
    </row>
    <row r="43" spans="2:37" x14ac:dyDescent="0.2">
      <c r="B43" s="252" t="s">
        <v>253</v>
      </c>
      <c r="C43" s="255">
        <f>SUM('63'!E3)/1000</f>
        <v>0</v>
      </c>
      <c r="D43" s="255">
        <f>SUM('63'!E4)/1000</f>
        <v>0</v>
      </c>
      <c r="E43" s="255">
        <f>SUM('63'!E5)/1000</f>
        <v>0</v>
      </c>
      <c r="F43" s="255">
        <f>SUM('63'!E6)/1000</f>
        <v>0</v>
      </c>
      <c r="G43" s="255">
        <f>SUM('63'!E21)/1000</f>
        <v>0</v>
      </c>
      <c r="H43" s="255">
        <f>SUM('63'!E23)/1000</f>
        <v>0</v>
      </c>
      <c r="I43" s="255">
        <f>SUM('63'!E15)/1000</f>
        <v>0</v>
      </c>
      <c r="J43" s="45">
        <v>15</v>
      </c>
      <c r="K43" s="252" t="s">
        <v>253</v>
      </c>
      <c r="L43" s="126" t="e">
        <f t="shared" ref="L43:R50" si="16">AD17/U17</f>
        <v>#DIV/0!</v>
      </c>
      <c r="M43" s="126" t="e">
        <f t="shared" si="16"/>
        <v>#DIV/0!</v>
      </c>
      <c r="N43" s="126" t="e">
        <f t="shared" si="16"/>
        <v>#DIV/0!</v>
      </c>
      <c r="O43" s="126" t="e">
        <f t="shared" si="16"/>
        <v>#DIV/0!</v>
      </c>
      <c r="P43" s="126" t="e">
        <f t="shared" si="16"/>
        <v>#DIV/0!</v>
      </c>
      <c r="Q43" s="126" t="e">
        <f t="shared" si="16"/>
        <v>#DIV/0!</v>
      </c>
      <c r="R43" s="126" t="e">
        <f t="shared" si="16"/>
        <v>#DIV/0!</v>
      </c>
      <c r="T43" s="252" t="s">
        <v>253</v>
      </c>
      <c r="U43" s="130" t="e">
        <f t="shared" ref="U43:AA50" si="17">SUM(U17/L17)*100</f>
        <v>#DIV/0!</v>
      </c>
      <c r="V43" s="130" t="e">
        <f t="shared" si="17"/>
        <v>#DIV/0!</v>
      </c>
      <c r="W43" s="130" t="e">
        <f t="shared" si="17"/>
        <v>#DIV/0!</v>
      </c>
      <c r="X43" s="130" t="e">
        <f t="shared" si="17"/>
        <v>#DIV/0!</v>
      </c>
      <c r="Y43" s="130" t="e">
        <f t="shared" si="17"/>
        <v>#DIV/0!</v>
      </c>
      <c r="Z43" s="130" t="e">
        <f t="shared" si="17"/>
        <v>#DIV/0!</v>
      </c>
      <c r="AA43" s="130" t="e">
        <f t="shared" si="17"/>
        <v>#DIV/0!</v>
      </c>
      <c r="AD43" s="266" t="e">
        <f>SUM(U24+V24+W24+X24+Y24+Z24+AA24)/(L24+M24+N24+O24+P24+Q24+R24)*100</f>
        <v>#DIV/0!</v>
      </c>
      <c r="AE43" s="313" t="e">
        <f>SUM(U24+V24+W24+X24+Y24+Z24)/(L24+M24+N24+O24+P24+Q24)*100</f>
        <v>#DIV/0!</v>
      </c>
      <c r="AJ43" s="257"/>
      <c r="AK43" s="256"/>
    </row>
    <row r="44" spans="2:37" x14ac:dyDescent="0.2">
      <c r="B44" s="125">
        <v>1817</v>
      </c>
      <c r="C44" s="255">
        <f>SUM('17'!E3)/1000</f>
        <v>0</v>
      </c>
      <c r="D44" s="255">
        <f>SUM('17'!E4)/1000</f>
        <v>0</v>
      </c>
      <c r="E44" s="255">
        <f>SUM('17'!E5)/1000</f>
        <v>0</v>
      </c>
      <c r="F44" s="255">
        <f>SUM('17'!E6)/1000</f>
        <v>0</v>
      </c>
      <c r="G44" s="255">
        <f>SUM('17'!E21)/1000</f>
        <v>0</v>
      </c>
      <c r="H44" s="255">
        <f>SUM('17'!E23)/1000</f>
        <v>0</v>
      </c>
      <c r="I44" s="255">
        <f>SUM('17'!E15)/1000</f>
        <v>0</v>
      </c>
      <c r="J44" s="45">
        <v>16</v>
      </c>
      <c r="K44" s="125">
        <v>1817</v>
      </c>
      <c r="L44" s="126" t="e">
        <f t="shared" si="16"/>
        <v>#DIV/0!</v>
      </c>
      <c r="M44" s="126" t="e">
        <f t="shared" si="16"/>
        <v>#DIV/0!</v>
      </c>
      <c r="N44" s="126" t="e">
        <f t="shared" si="16"/>
        <v>#DIV/0!</v>
      </c>
      <c r="O44" s="126" t="e">
        <f t="shared" si="16"/>
        <v>#DIV/0!</v>
      </c>
      <c r="P44" s="126" t="e">
        <f t="shared" si="16"/>
        <v>#DIV/0!</v>
      </c>
      <c r="Q44" s="126" t="e">
        <f t="shared" si="16"/>
        <v>#DIV/0!</v>
      </c>
      <c r="R44" s="126" t="e">
        <f t="shared" si="16"/>
        <v>#DIV/0!</v>
      </c>
      <c r="T44" s="125">
        <v>1817</v>
      </c>
      <c r="U44" s="130" t="e">
        <f t="shared" si="17"/>
        <v>#DIV/0!</v>
      </c>
      <c r="V44" s="130" t="e">
        <f t="shared" si="17"/>
        <v>#DIV/0!</v>
      </c>
      <c r="W44" s="130" t="e">
        <f t="shared" si="17"/>
        <v>#DIV/0!</v>
      </c>
      <c r="X44" s="130" t="e">
        <f t="shared" si="17"/>
        <v>#DIV/0!</v>
      </c>
      <c r="Y44" s="130" t="e">
        <f t="shared" si="17"/>
        <v>#DIV/0!</v>
      </c>
      <c r="Z44" s="130" t="e">
        <f t="shared" si="17"/>
        <v>#DIV/0!</v>
      </c>
      <c r="AA44" s="130" t="e">
        <f t="shared" si="17"/>
        <v>#DIV/0!</v>
      </c>
      <c r="AD44" s="267">
        <f>SUM(C50:H50)</f>
        <v>0</v>
      </c>
      <c r="AE44" s="313" t="e">
        <f>SUM(AE28/AE27)*100</f>
        <v>#DIV/0!</v>
      </c>
      <c r="AG44" s="256"/>
      <c r="AH44" s="256"/>
    </row>
    <row r="45" spans="2:37" ht="15" customHeight="1" x14ac:dyDescent="0.2">
      <c r="B45" s="125">
        <v>1818</v>
      </c>
      <c r="C45" s="255">
        <f>SUM('18'!E3)/1000</f>
        <v>0</v>
      </c>
      <c r="D45" s="255">
        <f>SUM('18'!E4)/1000</f>
        <v>0</v>
      </c>
      <c r="E45" s="255">
        <f>SUM('18'!E5)/1000</f>
        <v>0</v>
      </c>
      <c r="F45" s="255">
        <f>SUM('18'!E6)/1000</f>
        <v>0</v>
      </c>
      <c r="G45" s="255">
        <f>SUM('18'!E21)/1000</f>
        <v>0</v>
      </c>
      <c r="H45" s="255">
        <f>SUM('18'!E23)/1000</f>
        <v>0</v>
      </c>
      <c r="I45" s="255">
        <f>SUM('18'!E15)/1000</f>
        <v>0</v>
      </c>
      <c r="J45" s="45">
        <v>17</v>
      </c>
      <c r="K45" s="125">
        <v>1818</v>
      </c>
      <c r="L45" s="126" t="e">
        <f t="shared" si="16"/>
        <v>#DIV/0!</v>
      </c>
      <c r="M45" s="126" t="e">
        <f t="shared" si="16"/>
        <v>#DIV/0!</v>
      </c>
      <c r="N45" s="126" t="e">
        <f t="shared" si="16"/>
        <v>#DIV/0!</v>
      </c>
      <c r="O45" s="126" t="e">
        <f t="shared" si="16"/>
        <v>#DIV/0!</v>
      </c>
      <c r="P45" s="126" t="e">
        <f t="shared" si="16"/>
        <v>#DIV/0!</v>
      </c>
      <c r="Q45" s="126" t="e">
        <f t="shared" si="16"/>
        <v>#DIV/0!</v>
      </c>
      <c r="R45" s="126" t="e">
        <f t="shared" si="16"/>
        <v>#DIV/0!</v>
      </c>
      <c r="T45" s="125">
        <v>1818</v>
      </c>
      <c r="U45" s="130" t="e">
        <f t="shared" si="17"/>
        <v>#DIV/0!</v>
      </c>
      <c r="V45" s="130" t="e">
        <f t="shared" si="17"/>
        <v>#DIV/0!</v>
      </c>
      <c r="W45" s="130" t="e">
        <f t="shared" si="17"/>
        <v>#DIV/0!</v>
      </c>
      <c r="X45" s="130" t="e">
        <f t="shared" si="17"/>
        <v>#DIV/0!</v>
      </c>
      <c r="Y45" s="130" t="e">
        <f t="shared" si="17"/>
        <v>#DIV/0!</v>
      </c>
      <c r="Z45" s="130" t="e">
        <f t="shared" si="17"/>
        <v>#DIV/0!</v>
      </c>
      <c r="AA45" s="130" t="e">
        <f t="shared" si="17"/>
        <v>#DIV/0!</v>
      </c>
      <c r="AD45" s="264">
        <f>SUM(AD24:AI24)</f>
        <v>0</v>
      </c>
      <c r="AE45" s="244"/>
      <c r="AF45" s="100"/>
      <c r="AG45" s="256"/>
      <c r="AH45" s="306"/>
      <c r="AI45" s="268"/>
    </row>
    <row r="46" spans="2:37" x14ac:dyDescent="0.2">
      <c r="B46" s="125">
        <v>1819</v>
      </c>
      <c r="C46" s="255">
        <f>SUM('19'!E3)/1000</f>
        <v>0</v>
      </c>
      <c r="D46" s="255">
        <f>SUM('19'!E4)/1000</f>
        <v>0</v>
      </c>
      <c r="E46" s="255">
        <f>SUM('19'!E5)/1000</f>
        <v>0</v>
      </c>
      <c r="F46" s="255">
        <f>SUM('19'!E6)/1000</f>
        <v>0</v>
      </c>
      <c r="G46" s="255">
        <f>SUM('19'!E21)/1000</f>
        <v>0</v>
      </c>
      <c r="H46" s="255">
        <f>SUM('19'!E23)/1000</f>
        <v>0</v>
      </c>
      <c r="I46" s="255">
        <f>SUM('19'!E15)/1000</f>
        <v>0</v>
      </c>
      <c r="J46" s="45">
        <v>18</v>
      </c>
      <c r="K46" s="125">
        <v>1819</v>
      </c>
      <c r="L46" s="126" t="e">
        <f t="shared" si="16"/>
        <v>#DIV/0!</v>
      </c>
      <c r="M46" s="126" t="e">
        <f t="shared" si="16"/>
        <v>#DIV/0!</v>
      </c>
      <c r="N46" s="126" t="e">
        <f t="shared" si="16"/>
        <v>#DIV/0!</v>
      </c>
      <c r="O46" s="126" t="e">
        <f t="shared" si="16"/>
        <v>#DIV/0!</v>
      </c>
      <c r="P46" s="126" t="e">
        <f t="shared" si="16"/>
        <v>#DIV/0!</v>
      </c>
      <c r="Q46" s="126" t="e">
        <f t="shared" si="16"/>
        <v>#DIV/0!</v>
      </c>
      <c r="R46" s="126" t="e">
        <f t="shared" si="16"/>
        <v>#DIV/0!</v>
      </c>
      <c r="T46" s="125">
        <v>1819</v>
      </c>
      <c r="U46" s="130" t="e">
        <f t="shared" si="17"/>
        <v>#DIV/0!</v>
      </c>
      <c r="V46" s="130" t="e">
        <f t="shared" si="17"/>
        <v>#DIV/0!</v>
      </c>
      <c r="W46" s="130" t="e">
        <f t="shared" si="17"/>
        <v>#DIV/0!</v>
      </c>
      <c r="X46" s="130" t="e">
        <f t="shared" si="17"/>
        <v>#DIV/0!</v>
      </c>
      <c r="Y46" s="130" t="e">
        <f t="shared" si="17"/>
        <v>#DIV/0!</v>
      </c>
      <c r="Z46" s="130" t="e">
        <f t="shared" si="17"/>
        <v>#DIV/0!</v>
      </c>
      <c r="AA46" s="130" t="e">
        <f t="shared" si="17"/>
        <v>#DIV/0!</v>
      </c>
      <c r="AD46" s="220">
        <f>SUM(C24:H24)</f>
        <v>0</v>
      </c>
      <c r="AE46" s="244"/>
      <c r="AF46" s="227"/>
      <c r="AI46" s="233"/>
    </row>
    <row r="47" spans="2:37" x14ac:dyDescent="0.2">
      <c r="B47" s="252" t="s">
        <v>252</v>
      </c>
      <c r="C47" s="255">
        <f>SUM('20'!E3)/1000</f>
        <v>0</v>
      </c>
      <c r="D47" s="255">
        <f>SUM('20'!E4)/1000</f>
        <v>0</v>
      </c>
      <c r="E47" s="255">
        <f>SUM('20'!E5)/1000</f>
        <v>0</v>
      </c>
      <c r="F47" s="255">
        <f>SUM('20'!E6)/1000</f>
        <v>0</v>
      </c>
      <c r="G47" s="255">
        <f>SUM('20'!E21)/1000</f>
        <v>0</v>
      </c>
      <c r="H47" s="255">
        <f>SUM('20'!E23)/1000</f>
        <v>0</v>
      </c>
      <c r="I47" s="255">
        <f>SUM('20'!E15)/1000</f>
        <v>0</v>
      </c>
      <c r="J47" s="45">
        <v>19</v>
      </c>
      <c r="K47" s="252" t="s">
        <v>252</v>
      </c>
      <c r="L47" s="126" t="e">
        <f t="shared" si="16"/>
        <v>#DIV/0!</v>
      </c>
      <c r="M47" s="126" t="e">
        <f t="shared" si="16"/>
        <v>#DIV/0!</v>
      </c>
      <c r="N47" s="126" t="e">
        <f t="shared" si="16"/>
        <v>#DIV/0!</v>
      </c>
      <c r="O47" s="126" t="e">
        <f t="shared" si="16"/>
        <v>#DIV/0!</v>
      </c>
      <c r="P47" s="126" t="e">
        <f t="shared" si="16"/>
        <v>#DIV/0!</v>
      </c>
      <c r="Q47" s="126" t="e">
        <f t="shared" si="16"/>
        <v>#DIV/0!</v>
      </c>
      <c r="R47" s="126" t="e">
        <f t="shared" si="16"/>
        <v>#DIV/0!</v>
      </c>
      <c r="T47" s="252" t="s">
        <v>252</v>
      </c>
      <c r="U47" s="130" t="e">
        <f t="shared" si="17"/>
        <v>#DIV/0!</v>
      </c>
      <c r="V47" s="130" t="e">
        <f t="shared" si="17"/>
        <v>#DIV/0!</v>
      </c>
      <c r="W47" s="130" t="e">
        <f t="shared" si="17"/>
        <v>#DIV/0!</v>
      </c>
      <c r="X47" s="130" t="e">
        <f t="shared" si="17"/>
        <v>#DIV/0!</v>
      </c>
      <c r="Y47" s="130" t="e">
        <f t="shared" si="17"/>
        <v>#DIV/0!</v>
      </c>
      <c r="Z47" s="130" t="e">
        <f t="shared" si="17"/>
        <v>#DIV/0!</v>
      </c>
      <c r="AA47" s="130" t="e">
        <f t="shared" si="17"/>
        <v>#DIV/0!</v>
      </c>
      <c r="AD47" s="266" t="e">
        <f>SUM(AD45/AD46)</f>
        <v>#DIV/0!</v>
      </c>
      <c r="AE47" s="244"/>
      <c r="AF47" s="227"/>
      <c r="AG47" s="233"/>
      <c r="AH47" s="227"/>
      <c r="AI47" s="233"/>
    </row>
    <row r="48" spans="2:37" x14ac:dyDescent="0.2">
      <c r="B48" s="125">
        <v>1821</v>
      </c>
      <c r="C48" s="255">
        <f>SUM('21'!E3)/1000</f>
        <v>0</v>
      </c>
      <c r="D48" s="255">
        <f>SUM('21'!E4)/1000</f>
        <v>0</v>
      </c>
      <c r="E48" s="255">
        <f>SUM('21'!E5)/1000</f>
        <v>0</v>
      </c>
      <c r="F48" s="255">
        <f>SUM('21'!E6)/1000</f>
        <v>0</v>
      </c>
      <c r="G48" s="255">
        <f>SUM('21'!E21)/1000</f>
        <v>0</v>
      </c>
      <c r="H48" s="255">
        <f>SUM('21'!E23)/1000</f>
        <v>0</v>
      </c>
      <c r="I48" s="255">
        <f>SUM('21'!E15)/1000</f>
        <v>0</v>
      </c>
      <c r="J48" s="45">
        <v>20</v>
      </c>
      <c r="K48" s="125">
        <v>1821</v>
      </c>
      <c r="L48" s="126" t="e">
        <f t="shared" si="16"/>
        <v>#DIV/0!</v>
      </c>
      <c r="M48" s="126" t="e">
        <f t="shared" si="16"/>
        <v>#DIV/0!</v>
      </c>
      <c r="N48" s="126" t="e">
        <f t="shared" si="16"/>
        <v>#DIV/0!</v>
      </c>
      <c r="O48" s="126" t="e">
        <f t="shared" si="16"/>
        <v>#DIV/0!</v>
      </c>
      <c r="P48" s="126" t="e">
        <f t="shared" si="16"/>
        <v>#DIV/0!</v>
      </c>
      <c r="Q48" s="126" t="e">
        <f t="shared" si="16"/>
        <v>#DIV/0!</v>
      </c>
      <c r="R48" s="126" t="e">
        <f t="shared" si="16"/>
        <v>#DIV/0!</v>
      </c>
      <c r="T48" s="125">
        <v>1821</v>
      </c>
      <c r="U48" s="130" t="e">
        <f t="shared" si="17"/>
        <v>#DIV/0!</v>
      </c>
      <c r="V48" s="130" t="e">
        <f t="shared" si="17"/>
        <v>#DIV/0!</v>
      </c>
      <c r="W48" s="130" t="e">
        <f t="shared" si="17"/>
        <v>#DIV/0!</v>
      </c>
      <c r="X48" s="130" t="e">
        <f t="shared" si="17"/>
        <v>#DIV/0!</v>
      </c>
      <c r="Y48" s="130" t="e">
        <f t="shared" si="17"/>
        <v>#DIV/0!</v>
      </c>
      <c r="Z48" s="130" t="e">
        <f t="shared" si="17"/>
        <v>#DIV/0!</v>
      </c>
      <c r="AA48" s="130" t="e">
        <f t="shared" si="17"/>
        <v>#DIV/0!</v>
      </c>
      <c r="AD48" s="100"/>
      <c r="AF48" s="227"/>
      <c r="AG48" s="233"/>
      <c r="AH48" s="227"/>
      <c r="AI48" s="233"/>
    </row>
    <row r="49" spans="2:35" x14ac:dyDescent="0.2">
      <c r="B49" s="252" t="s">
        <v>254</v>
      </c>
      <c r="C49" s="255">
        <f>SUM('62'!E3)/1000</f>
        <v>0</v>
      </c>
      <c r="D49" s="255">
        <f>SUM('62'!E4)/1000</f>
        <v>0</v>
      </c>
      <c r="E49" s="255">
        <f>SUM('62'!E5)/1000</f>
        <v>0</v>
      </c>
      <c r="F49" s="255">
        <f>SUM('62'!E6)/1000</f>
        <v>0</v>
      </c>
      <c r="G49" s="255">
        <f>SUM('62'!E21)/1000</f>
        <v>0</v>
      </c>
      <c r="H49" s="255">
        <f>SUM('62'!E23)/1000</f>
        <v>0</v>
      </c>
      <c r="I49" s="255">
        <f>SUM('62'!E15)/1000</f>
        <v>0</v>
      </c>
      <c r="J49" s="45">
        <v>21</v>
      </c>
      <c r="K49" s="252" t="s">
        <v>254</v>
      </c>
      <c r="L49" s="126" t="e">
        <f t="shared" si="16"/>
        <v>#DIV/0!</v>
      </c>
      <c r="M49" s="126" t="e">
        <f t="shared" si="16"/>
        <v>#DIV/0!</v>
      </c>
      <c r="N49" s="126" t="e">
        <f t="shared" si="16"/>
        <v>#DIV/0!</v>
      </c>
      <c r="O49" s="126" t="e">
        <f t="shared" si="16"/>
        <v>#DIV/0!</v>
      </c>
      <c r="P49" s="126" t="e">
        <f t="shared" si="16"/>
        <v>#DIV/0!</v>
      </c>
      <c r="Q49" s="126" t="e">
        <f t="shared" si="16"/>
        <v>#DIV/0!</v>
      </c>
      <c r="R49" s="126" t="e">
        <f t="shared" si="16"/>
        <v>#DIV/0!</v>
      </c>
      <c r="T49" s="252" t="s">
        <v>254</v>
      </c>
      <c r="U49" s="130" t="e">
        <f t="shared" si="17"/>
        <v>#DIV/0!</v>
      </c>
      <c r="V49" s="130" t="e">
        <f t="shared" si="17"/>
        <v>#DIV/0!</v>
      </c>
      <c r="W49" s="130" t="e">
        <f t="shared" si="17"/>
        <v>#DIV/0!</v>
      </c>
      <c r="X49" s="130" t="e">
        <f t="shared" si="17"/>
        <v>#DIV/0!</v>
      </c>
      <c r="Y49" s="130" t="e">
        <f t="shared" si="17"/>
        <v>#DIV/0!</v>
      </c>
      <c r="Z49" s="130" t="e">
        <f t="shared" si="17"/>
        <v>#DIV/0!</v>
      </c>
      <c r="AA49" s="130" t="e">
        <f t="shared" si="17"/>
        <v>#DIV/0!</v>
      </c>
      <c r="AF49" s="227"/>
      <c r="AG49" s="233"/>
      <c r="AH49" s="227"/>
      <c r="AI49" s="233"/>
    </row>
    <row r="50" spans="2:35" x14ac:dyDescent="0.2">
      <c r="B50" s="249" t="s">
        <v>128</v>
      </c>
      <c r="C50" s="258">
        <f>SUM(C27:C49)</f>
        <v>0</v>
      </c>
      <c r="D50" s="258">
        <f t="shared" ref="D50" si="18">SUM(D27:D49)</f>
        <v>0</v>
      </c>
      <c r="E50" s="258">
        <f>SUM(E27:E49)</f>
        <v>0</v>
      </c>
      <c r="F50" s="258">
        <f>SUM(F27:F49)</f>
        <v>0</v>
      </c>
      <c r="G50" s="258">
        <f>SUM(G27:G49)</f>
        <v>0</v>
      </c>
      <c r="H50" s="258">
        <f>SUM(H27:H49)</f>
        <v>0</v>
      </c>
      <c r="I50" s="258">
        <f>SUM(I27:I49)</f>
        <v>0</v>
      </c>
      <c r="J50" s="200"/>
      <c r="K50" s="249" t="s">
        <v>128</v>
      </c>
      <c r="L50" s="259" t="e">
        <f t="shared" si="16"/>
        <v>#DIV/0!</v>
      </c>
      <c r="M50" s="259" t="e">
        <f t="shared" si="16"/>
        <v>#DIV/0!</v>
      </c>
      <c r="N50" s="259" t="e">
        <f t="shared" si="16"/>
        <v>#DIV/0!</v>
      </c>
      <c r="O50" s="259" t="e">
        <f t="shared" si="16"/>
        <v>#DIV/0!</v>
      </c>
      <c r="P50" s="259" t="e">
        <f t="shared" si="16"/>
        <v>#DIV/0!</v>
      </c>
      <c r="Q50" s="259" t="e">
        <f t="shared" si="16"/>
        <v>#DIV/0!</v>
      </c>
      <c r="R50" s="259" t="e">
        <f t="shared" si="16"/>
        <v>#DIV/0!</v>
      </c>
      <c r="S50" s="200"/>
      <c r="T50" s="249" t="s">
        <v>128</v>
      </c>
      <c r="U50" s="260" t="e">
        <f t="shared" si="17"/>
        <v>#DIV/0!</v>
      </c>
      <c r="V50" s="259" t="e">
        <f t="shared" si="17"/>
        <v>#DIV/0!</v>
      </c>
      <c r="W50" s="259" t="e">
        <f t="shared" si="17"/>
        <v>#DIV/0!</v>
      </c>
      <c r="X50" s="259" t="e">
        <f t="shared" si="17"/>
        <v>#DIV/0!</v>
      </c>
      <c r="Y50" s="259" t="e">
        <f t="shared" si="17"/>
        <v>#DIV/0!</v>
      </c>
      <c r="Z50" s="259" t="e">
        <f t="shared" si="17"/>
        <v>#DIV/0!</v>
      </c>
      <c r="AA50" s="259" t="e">
        <f t="shared" si="17"/>
        <v>#DIV/0!</v>
      </c>
      <c r="AF50" s="227"/>
      <c r="AG50" s="233"/>
      <c r="AH50" s="227"/>
      <c r="AI50" s="233"/>
    </row>
    <row r="51" spans="2:35" ht="12" customHeight="1" x14ac:dyDescent="0.2">
      <c r="K51" s="44" t="s">
        <v>325</v>
      </c>
      <c r="AF51" s="227"/>
      <c r="AG51" s="233"/>
      <c r="AH51" s="227"/>
      <c r="AI51" s="233"/>
    </row>
    <row r="52" spans="2:35" x14ac:dyDescent="0.2">
      <c r="B52" s="206">
        <f>SUM(C24:H24)</f>
        <v>0</v>
      </c>
      <c r="K52" s="207">
        <f>SUM(C50:H50)</f>
        <v>0</v>
      </c>
      <c r="L52" s="200">
        <f>SUM(C24:H24)</f>
        <v>0</v>
      </c>
      <c r="M52" s="200">
        <f>SUM(L24:Q24)</f>
        <v>0</v>
      </c>
      <c r="N52" s="200">
        <f>SUM(U24:Z24)</f>
        <v>0</v>
      </c>
      <c r="O52" s="200">
        <f>SUM(L24:Q24)</f>
        <v>0</v>
      </c>
      <c r="AF52" s="100"/>
      <c r="AG52" s="233"/>
      <c r="AH52" s="100"/>
      <c r="AI52" s="233"/>
    </row>
    <row r="53" spans="2:35" x14ac:dyDescent="0.2">
      <c r="M53" s="94" t="e">
        <f>SUM(M52/L52)*100</f>
        <v>#DIV/0!</v>
      </c>
      <c r="N53" s="200">
        <f>SUM(U24:Z24)</f>
        <v>0</v>
      </c>
      <c r="O53" s="205"/>
      <c r="AF53" s="100"/>
      <c r="AH53" s="100"/>
      <c r="AI53" s="100"/>
    </row>
    <row r="54" spans="2:35" x14ac:dyDescent="0.2">
      <c r="O54" s="205"/>
    </row>
    <row r="61" spans="2:35" ht="16.5" customHeight="1" x14ac:dyDescent="0.2"/>
    <row r="80" spans="3:9" x14ac:dyDescent="0.2">
      <c r="C80" s="94"/>
      <c r="D80" s="94"/>
      <c r="E80" s="94"/>
      <c r="F80" s="94"/>
      <c r="G80" s="94"/>
      <c r="H80" s="94"/>
      <c r="I80" s="94"/>
    </row>
  </sheetData>
  <mergeCells count="7">
    <mergeCell ref="AE40:AH40"/>
    <mergeCell ref="AE34:AH34"/>
    <mergeCell ref="AE35:AH35"/>
    <mergeCell ref="AE36:AH36"/>
    <mergeCell ref="AE37:AH37"/>
    <mergeCell ref="AE38:AH38"/>
    <mergeCell ref="AE39:AH39"/>
  </mergeCells>
  <pageMargins left="0" right="0" top="0" bottom="0" header="0" footer="0"/>
  <pageSetup paperSize="9" scale="3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Arkusz26">
    <tabColor theme="0"/>
  </sheetPr>
  <dimension ref="A1:S42"/>
  <sheetViews>
    <sheetView zoomScale="80" zoomScaleNormal="80" workbookViewId="0"/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6.85546875" style="45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195" t="s">
        <v>22</v>
      </c>
      <c r="B1" s="195" t="s">
        <v>23</v>
      </c>
      <c r="C1" s="195" t="s">
        <v>24</v>
      </c>
      <c r="D1" s="121" t="s">
        <v>25</v>
      </c>
      <c r="E1" s="193" t="s">
        <v>387</v>
      </c>
      <c r="F1" s="191" t="s">
        <v>388</v>
      </c>
      <c r="G1" s="191" t="s">
        <v>389</v>
      </c>
      <c r="H1" s="191" t="s">
        <v>390</v>
      </c>
      <c r="J1" s="195" t="s">
        <v>22</v>
      </c>
      <c r="K1" s="195" t="s">
        <v>23</v>
      </c>
      <c r="L1" s="195" t="s">
        <v>24</v>
      </c>
      <c r="M1" s="121" t="s">
        <v>25</v>
      </c>
      <c r="N1" s="193" t="s">
        <v>387</v>
      </c>
      <c r="O1" s="191" t="s">
        <v>388</v>
      </c>
      <c r="P1" s="191" t="s">
        <v>389</v>
      </c>
      <c r="Q1" s="191" t="s">
        <v>390</v>
      </c>
    </row>
    <row r="2" spans="1:19" ht="15" customHeight="1" x14ac:dyDescent="0.2">
      <c r="A2" s="195"/>
      <c r="B2" s="195"/>
      <c r="C2" s="195"/>
      <c r="D2" s="121"/>
      <c r="E2" s="191"/>
      <c r="F2" s="121"/>
      <c r="G2" s="121"/>
      <c r="H2" s="121"/>
      <c r="J2" s="195" t="s">
        <v>479</v>
      </c>
      <c r="K2" s="195" t="s">
        <v>26</v>
      </c>
      <c r="L2" s="195" t="s">
        <v>441</v>
      </c>
      <c r="M2" s="121" t="s">
        <v>27</v>
      </c>
      <c r="N2" s="196">
        <v>5266051.21</v>
      </c>
      <c r="O2" s="200">
        <v>345</v>
      </c>
      <c r="P2" s="200">
        <v>307</v>
      </c>
      <c r="Q2" s="200">
        <v>270</v>
      </c>
      <c r="S2" s="44" t="s">
        <v>395</v>
      </c>
    </row>
    <row r="3" spans="1:19" x14ac:dyDescent="0.2">
      <c r="A3" s="195"/>
      <c r="B3" s="195"/>
      <c r="C3" s="195"/>
      <c r="D3" s="121"/>
      <c r="E3" s="191"/>
      <c r="F3" s="121"/>
      <c r="G3" s="121"/>
      <c r="H3" s="121"/>
      <c r="I3" s="186">
        <v>1</v>
      </c>
      <c r="J3" s="195" t="s">
        <v>479</v>
      </c>
      <c r="K3" s="195" t="s">
        <v>26</v>
      </c>
      <c r="L3" s="195" t="s">
        <v>441</v>
      </c>
      <c r="M3" s="121" t="s">
        <v>28</v>
      </c>
      <c r="N3" s="197">
        <v>1463295.63</v>
      </c>
      <c r="O3" s="198">
        <v>109</v>
      </c>
      <c r="P3" s="198">
        <v>97</v>
      </c>
      <c r="Q3" s="198">
        <v>85</v>
      </c>
      <c r="R3" s="186">
        <v>1</v>
      </c>
      <c r="S3" s="187" t="s">
        <v>396</v>
      </c>
    </row>
    <row r="4" spans="1:19" x14ac:dyDescent="0.2">
      <c r="A4" s="195"/>
      <c r="B4" s="195"/>
      <c r="C4" s="195"/>
      <c r="D4" s="121"/>
      <c r="E4" s="191"/>
      <c r="F4" s="121"/>
      <c r="G4" s="121"/>
      <c r="H4" s="121"/>
      <c r="I4" s="186">
        <v>2</v>
      </c>
      <c r="J4" s="195" t="s">
        <v>479</v>
      </c>
      <c r="K4" s="195" t="s">
        <v>26</v>
      </c>
      <c r="L4" s="195" t="s">
        <v>441</v>
      </c>
      <c r="M4" s="121" t="s">
        <v>29</v>
      </c>
      <c r="N4" s="197">
        <v>144677.32</v>
      </c>
      <c r="O4" s="198">
        <v>14</v>
      </c>
      <c r="P4" s="198">
        <v>13</v>
      </c>
      <c r="Q4" s="198">
        <v>7</v>
      </c>
      <c r="R4" s="186">
        <v>2</v>
      </c>
      <c r="S4" s="187" t="s">
        <v>397</v>
      </c>
    </row>
    <row r="5" spans="1:19" x14ac:dyDescent="0.2">
      <c r="A5" s="195"/>
      <c r="B5" s="195"/>
      <c r="C5" s="195"/>
      <c r="D5" s="121"/>
      <c r="E5" s="191"/>
      <c r="F5" s="121"/>
      <c r="G5" s="121"/>
      <c r="H5" s="121"/>
      <c r="I5" s="186">
        <v>3</v>
      </c>
      <c r="J5" s="195" t="s">
        <v>479</v>
      </c>
      <c r="K5" s="195" t="s">
        <v>26</v>
      </c>
      <c r="L5" s="195" t="s">
        <v>441</v>
      </c>
      <c r="M5" s="121" t="s">
        <v>30</v>
      </c>
      <c r="N5" s="197">
        <v>941910.4</v>
      </c>
      <c r="O5" s="198">
        <v>99</v>
      </c>
      <c r="P5" s="198">
        <v>53</v>
      </c>
      <c r="Q5" s="198">
        <v>51</v>
      </c>
      <c r="R5" s="186">
        <v>3</v>
      </c>
      <c r="S5" s="187" t="s">
        <v>399</v>
      </c>
    </row>
    <row r="6" spans="1:19" x14ac:dyDescent="0.2">
      <c r="A6" s="195"/>
      <c r="B6" s="195"/>
      <c r="C6" s="195"/>
      <c r="D6" s="121"/>
      <c r="E6" s="191"/>
      <c r="F6" s="121"/>
      <c r="G6" s="121"/>
      <c r="H6" s="121"/>
      <c r="I6" s="186">
        <v>4</v>
      </c>
      <c r="J6" s="195" t="s">
        <v>479</v>
      </c>
      <c r="K6" s="195" t="s">
        <v>26</v>
      </c>
      <c r="L6" s="195" t="s">
        <v>441</v>
      </c>
      <c r="M6" s="121" t="s">
        <v>31</v>
      </c>
      <c r="N6" s="197">
        <v>786245.54</v>
      </c>
      <c r="O6" s="198">
        <v>36</v>
      </c>
      <c r="P6" s="198">
        <v>24</v>
      </c>
      <c r="Q6" s="198">
        <v>24</v>
      </c>
      <c r="R6" s="186">
        <v>4</v>
      </c>
      <c r="S6" s="187" t="s">
        <v>398</v>
      </c>
    </row>
    <row r="7" spans="1:19" x14ac:dyDescent="0.2">
      <c r="A7" s="195"/>
      <c r="B7" s="195"/>
      <c r="C7" s="195"/>
      <c r="D7" s="121"/>
      <c r="E7" s="191"/>
      <c r="F7" s="121"/>
      <c r="G7" s="121"/>
      <c r="H7" s="121"/>
      <c r="I7" s="189" t="s">
        <v>417</v>
      </c>
      <c r="J7" s="195" t="s">
        <v>479</v>
      </c>
      <c r="K7" s="195" t="s">
        <v>26</v>
      </c>
      <c r="L7" s="195" t="s">
        <v>441</v>
      </c>
      <c r="M7" s="121" t="s">
        <v>32</v>
      </c>
      <c r="N7" s="199">
        <v>11602.2</v>
      </c>
      <c r="O7" s="198">
        <v>4</v>
      </c>
      <c r="P7" s="198">
        <v>4</v>
      </c>
      <c r="Q7" s="198">
        <v>1</v>
      </c>
      <c r="R7" s="189" t="s">
        <v>417</v>
      </c>
      <c r="S7" s="187" t="s">
        <v>400</v>
      </c>
    </row>
    <row r="8" spans="1:19" x14ac:dyDescent="0.2">
      <c r="A8" s="195"/>
      <c r="B8" s="195"/>
      <c r="C8" s="195"/>
      <c r="D8" s="121"/>
      <c r="E8" s="191"/>
      <c r="F8" s="121"/>
      <c r="G8" s="121"/>
      <c r="H8" s="121"/>
      <c r="I8" s="121"/>
      <c r="J8" s="195" t="s">
        <v>479</v>
      </c>
      <c r="K8" s="195" t="s">
        <v>26</v>
      </c>
      <c r="L8" s="195" t="s">
        <v>441</v>
      </c>
      <c r="M8" s="121" t="s">
        <v>33</v>
      </c>
      <c r="N8" s="196">
        <v>0</v>
      </c>
      <c r="O8" s="200">
        <v>0</v>
      </c>
      <c r="P8" s="200">
        <v>0</v>
      </c>
      <c r="Q8" s="200">
        <v>0</v>
      </c>
      <c r="R8" s="121"/>
      <c r="S8" s="44" t="s">
        <v>401</v>
      </c>
    </row>
    <row r="9" spans="1:19" x14ac:dyDescent="0.2">
      <c r="A9" s="195"/>
      <c r="B9" s="195"/>
      <c r="C9" s="195"/>
      <c r="D9" s="121"/>
      <c r="E9" s="191"/>
      <c r="F9" s="121"/>
      <c r="G9" s="121"/>
      <c r="H9" s="121"/>
      <c r="I9" s="121"/>
      <c r="J9" s="195" t="s">
        <v>479</v>
      </c>
      <c r="K9" s="195" t="s">
        <v>26</v>
      </c>
      <c r="L9" s="195" t="s">
        <v>441</v>
      </c>
      <c r="M9" s="121" t="s">
        <v>34</v>
      </c>
      <c r="N9" s="196">
        <v>0</v>
      </c>
      <c r="O9" s="200">
        <v>0</v>
      </c>
      <c r="P9" s="200">
        <v>0</v>
      </c>
      <c r="Q9" s="200">
        <v>0</v>
      </c>
      <c r="R9" s="121"/>
      <c r="S9" s="44" t="s">
        <v>6</v>
      </c>
    </row>
    <row r="10" spans="1:19" ht="15" customHeight="1" x14ac:dyDescent="0.2">
      <c r="A10" s="195"/>
      <c r="B10" s="195"/>
      <c r="C10" s="195"/>
      <c r="D10" s="121"/>
      <c r="E10" s="191"/>
      <c r="F10" s="121"/>
      <c r="G10" s="121"/>
      <c r="H10" s="121"/>
      <c r="I10" s="121"/>
      <c r="J10" s="195" t="s">
        <v>479</v>
      </c>
      <c r="K10" s="195" t="s">
        <v>26</v>
      </c>
      <c r="L10" s="195" t="s">
        <v>441</v>
      </c>
      <c r="M10" s="121" t="s">
        <v>35</v>
      </c>
      <c r="N10" s="196">
        <v>0</v>
      </c>
      <c r="O10" s="200">
        <v>0</v>
      </c>
      <c r="P10" s="200">
        <v>0</v>
      </c>
      <c r="Q10" s="200">
        <v>0</v>
      </c>
      <c r="R10" s="121"/>
      <c r="S10" s="44" t="s">
        <v>402</v>
      </c>
    </row>
    <row r="11" spans="1:19" ht="15" customHeight="1" x14ac:dyDescent="0.2">
      <c r="A11" s="195"/>
      <c r="B11" s="195"/>
      <c r="C11" s="195"/>
      <c r="D11" s="121"/>
      <c r="E11" s="191"/>
      <c r="F11" s="121"/>
      <c r="G11" s="121"/>
      <c r="H11" s="121"/>
      <c r="I11" s="121"/>
      <c r="J11" s="195" t="s">
        <v>479</v>
      </c>
      <c r="K11" s="195" t="s">
        <v>26</v>
      </c>
      <c r="L11" s="195" t="s">
        <v>441</v>
      </c>
      <c r="M11" s="121" t="s">
        <v>36</v>
      </c>
      <c r="N11" s="196">
        <v>0</v>
      </c>
      <c r="O11" s="200">
        <v>0</v>
      </c>
      <c r="P11" s="200">
        <v>0</v>
      </c>
      <c r="Q11" s="200">
        <v>0</v>
      </c>
      <c r="R11" s="121"/>
      <c r="S11" s="44" t="s">
        <v>8</v>
      </c>
    </row>
    <row r="12" spans="1:19" x14ac:dyDescent="0.2">
      <c r="A12" s="195"/>
      <c r="B12" s="195"/>
      <c r="C12" s="195"/>
      <c r="D12" s="121"/>
      <c r="E12" s="191"/>
      <c r="F12" s="121"/>
      <c r="G12" s="121"/>
      <c r="H12" s="121"/>
      <c r="I12" s="121"/>
      <c r="J12" s="195" t="s">
        <v>479</v>
      </c>
      <c r="K12" s="195" t="s">
        <v>26</v>
      </c>
      <c r="L12" s="195" t="s">
        <v>441</v>
      </c>
      <c r="M12" s="121" t="s">
        <v>37</v>
      </c>
      <c r="N12" s="196">
        <v>0</v>
      </c>
      <c r="O12" s="200">
        <v>0</v>
      </c>
      <c r="P12" s="200">
        <v>0</v>
      </c>
      <c r="Q12" s="200">
        <v>0</v>
      </c>
      <c r="R12" s="121"/>
      <c r="S12" s="44" t="s">
        <v>403</v>
      </c>
    </row>
    <row r="13" spans="1:19" x14ac:dyDescent="0.2">
      <c r="A13" s="195"/>
      <c r="B13" s="195"/>
      <c r="C13" s="195"/>
      <c r="D13" s="121"/>
      <c r="E13" s="191"/>
      <c r="F13" s="121"/>
      <c r="G13" s="121"/>
      <c r="H13" s="121"/>
      <c r="I13" s="189" t="s">
        <v>419</v>
      </c>
      <c r="J13" s="195" t="s">
        <v>479</v>
      </c>
      <c r="K13" s="195" t="s">
        <v>26</v>
      </c>
      <c r="L13" s="195" t="s">
        <v>441</v>
      </c>
      <c r="M13" s="121" t="s">
        <v>26</v>
      </c>
      <c r="N13" s="199">
        <v>36018.75</v>
      </c>
      <c r="O13" s="198">
        <v>8</v>
      </c>
      <c r="P13" s="198">
        <v>4</v>
      </c>
      <c r="Q13" s="198">
        <v>3</v>
      </c>
      <c r="R13" s="189" t="s">
        <v>419</v>
      </c>
      <c r="S13" s="187" t="s">
        <v>9</v>
      </c>
    </row>
    <row r="14" spans="1:19" ht="15" customHeight="1" x14ac:dyDescent="0.2">
      <c r="A14" s="195"/>
      <c r="B14" s="195"/>
      <c r="C14" s="195"/>
      <c r="D14" s="121"/>
      <c r="E14" s="191"/>
      <c r="F14" s="121"/>
      <c r="G14" s="121"/>
      <c r="H14" s="121"/>
      <c r="I14" s="121"/>
      <c r="J14" s="195" t="s">
        <v>479</v>
      </c>
      <c r="K14" s="195" t="s">
        <v>26</v>
      </c>
      <c r="L14" s="195" t="s">
        <v>441</v>
      </c>
      <c r="M14" s="121" t="s">
        <v>38</v>
      </c>
      <c r="N14" s="196">
        <v>0</v>
      </c>
      <c r="O14" s="200">
        <v>0</v>
      </c>
      <c r="P14" s="200">
        <v>0</v>
      </c>
      <c r="Q14" s="200">
        <v>0</v>
      </c>
      <c r="R14" s="121"/>
      <c r="S14" s="44" t="s">
        <v>404</v>
      </c>
    </row>
    <row r="15" spans="1:19" ht="15" customHeight="1" x14ac:dyDescent="0.2">
      <c r="A15" s="195"/>
      <c r="B15" s="195"/>
      <c r="C15" s="195"/>
      <c r="D15" s="121"/>
      <c r="E15" s="191"/>
      <c r="F15" s="121"/>
      <c r="G15" s="121"/>
      <c r="H15" s="121"/>
      <c r="I15" s="189" t="s">
        <v>51</v>
      </c>
      <c r="J15" s="195" t="s">
        <v>479</v>
      </c>
      <c r="K15" s="195" t="s">
        <v>26</v>
      </c>
      <c r="L15" s="195" t="s">
        <v>441</v>
      </c>
      <c r="M15" s="121" t="s">
        <v>39</v>
      </c>
      <c r="N15" s="199">
        <v>481000</v>
      </c>
      <c r="O15" s="198">
        <v>37</v>
      </c>
      <c r="P15" s="198">
        <v>52</v>
      </c>
      <c r="Q15" s="198">
        <v>40</v>
      </c>
      <c r="R15" s="189" t="s">
        <v>51</v>
      </c>
      <c r="S15" s="187" t="s">
        <v>11</v>
      </c>
    </row>
    <row r="16" spans="1:19" x14ac:dyDescent="0.2">
      <c r="A16" s="195"/>
      <c r="B16" s="195"/>
      <c r="C16" s="195"/>
      <c r="D16" s="121"/>
      <c r="E16" s="191"/>
      <c r="F16" s="121"/>
      <c r="G16" s="121"/>
      <c r="H16" s="121"/>
      <c r="I16" s="189" t="s">
        <v>418</v>
      </c>
      <c r="J16" s="195" t="s">
        <v>479</v>
      </c>
      <c r="K16" s="195" t="s">
        <v>26</v>
      </c>
      <c r="L16" s="195" t="s">
        <v>441</v>
      </c>
      <c r="M16" s="121" t="s">
        <v>40</v>
      </c>
      <c r="N16" s="199">
        <v>0</v>
      </c>
      <c r="O16" s="198">
        <v>0</v>
      </c>
      <c r="P16" s="198">
        <v>0</v>
      </c>
      <c r="Q16" s="198">
        <v>0</v>
      </c>
      <c r="R16" s="189" t="s">
        <v>418</v>
      </c>
      <c r="S16" s="187" t="s">
        <v>405</v>
      </c>
    </row>
    <row r="17" spans="1:19" x14ac:dyDescent="0.2">
      <c r="A17" s="195"/>
      <c r="B17" s="195"/>
      <c r="C17" s="195"/>
      <c r="D17" s="121"/>
      <c r="E17" s="191"/>
      <c r="F17" s="121"/>
      <c r="G17" s="121"/>
      <c r="H17" s="121"/>
      <c r="I17" s="121"/>
      <c r="J17" s="195" t="s">
        <v>479</v>
      </c>
      <c r="K17" s="195" t="s">
        <v>26</v>
      </c>
      <c r="L17" s="195" t="s">
        <v>441</v>
      </c>
      <c r="M17" s="121" t="s">
        <v>41</v>
      </c>
      <c r="N17" s="196">
        <v>0</v>
      </c>
      <c r="O17" s="200">
        <v>0</v>
      </c>
      <c r="P17" s="200">
        <v>0</v>
      </c>
      <c r="Q17" s="200">
        <v>0</v>
      </c>
      <c r="R17" s="121"/>
      <c r="S17" s="44" t="s">
        <v>406</v>
      </c>
    </row>
    <row r="18" spans="1:19" ht="15" customHeight="1" x14ac:dyDescent="0.2">
      <c r="A18" s="195"/>
      <c r="B18" s="195"/>
      <c r="C18" s="195"/>
      <c r="D18" s="121"/>
      <c r="E18" s="191"/>
      <c r="F18" s="121"/>
      <c r="G18" s="121"/>
      <c r="H18" s="121"/>
      <c r="I18" s="189" t="s">
        <v>420</v>
      </c>
      <c r="J18" s="195" t="s">
        <v>479</v>
      </c>
      <c r="K18" s="195" t="s">
        <v>26</v>
      </c>
      <c r="L18" s="195" t="s">
        <v>441</v>
      </c>
      <c r="M18" s="121" t="s">
        <v>42</v>
      </c>
      <c r="N18" s="199">
        <v>0</v>
      </c>
      <c r="O18" s="198">
        <v>0</v>
      </c>
      <c r="P18" s="198">
        <v>0</v>
      </c>
      <c r="Q18" s="198">
        <v>0</v>
      </c>
      <c r="R18" s="189" t="s">
        <v>420</v>
      </c>
      <c r="S18" s="187" t="s">
        <v>376</v>
      </c>
    </row>
    <row r="19" spans="1:19" ht="15" customHeight="1" x14ac:dyDescent="0.2">
      <c r="A19" s="195"/>
      <c r="B19" s="195"/>
      <c r="C19" s="195"/>
      <c r="D19" s="121"/>
      <c r="E19" s="191"/>
      <c r="F19" s="121"/>
      <c r="G19" s="121"/>
      <c r="H19" s="121"/>
      <c r="I19" s="189" t="s">
        <v>416</v>
      </c>
      <c r="J19" s="195" t="s">
        <v>479</v>
      </c>
      <c r="K19" s="195" t="s">
        <v>26</v>
      </c>
      <c r="L19" s="195" t="s">
        <v>441</v>
      </c>
      <c r="M19" s="121" t="s">
        <v>43</v>
      </c>
      <c r="N19" s="199">
        <v>0</v>
      </c>
      <c r="O19" s="198">
        <v>0</v>
      </c>
      <c r="P19" s="198">
        <v>0</v>
      </c>
      <c r="Q19" s="198">
        <v>0</v>
      </c>
      <c r="R19" s="189" t="s">
        <v>416</v>
      </c>
      <c r="S19" s="187" t="s">
        <v>377</v>
      </c>
    </row>
    <row r="20" spans="1:19" x14ac:dyDescent="0.2">
      <c r="A20" s="195"/>
      <c r="B20" s="195"/>
      <c r="C20" s="195"/>
      <c r="D20" s="121"/>
      <c r="E20" s="191"/>
      <c r="F20" s="121"/>
      <c r="G20" s="121"/>
      <c r="H20" s="121"/>
      <c r="I20" s="121"/>
      <c r="J20" s="195" t="s">
        <v>479</v>
      </c>
      <c r="K20" s="195" t="s">
        <v>26</v>
      </c>
      <c r="L20" s="195" t="s">
        <v>441</v>
      </c>
      <c r="M20" s="121" t="s">
        <v>44</v>
      </c>
      <c r="N20" s="196">
        <v>0</v>
      </c>
      <c r="O20" s="200">
        <v>0</v>
      </c>
      <c r="P20" s="200">
        <v>0</v>
      </c>
      <c r="Q20" s="200">
        <v>0</v>
      </c>
      <c r="R20" s="121"/>
      <c r="S20" s="44" t="s">
        <v>15</v>
      </c>
    </row>
    <row r="21" spans="1:19" x14ac:dyDescent="0.2">
      <c r="A21" s="195"/>
      <c r="B21" s="195"/>
      <c r="C21" s="195"/>
      <c r="D21" s="121"/>
      <c r="E21" s="191"/>
      <c r="F21" s="121"/>
      <c r="G21" s="121"/>
      <c r="H21" s="121"/>
      <c r="I21" s="186">
        <v>6</v>
      </c>
      <c r="J21" s="195" t="s">
        <v>479</v>
      </c>
      <c r="K21" s="195" t="s">
        <v>26</v>
      </c>
      <c r="L21" s="195" t="s">
        <v>441</v>
      </c>
      <c r="M21" s="121" t="s">
        <v>45</v>
      </c>
      <c r="N21" s="197">
        <v>1239603</v>
      </c>
      <c r="O21" s="198">
        <v>33</v>
      </c>
      <c r="P21" s="198">
        <v>41</v>
      </c>
      <c r="Q21" s="198">
        <v>40</v>
      </c>
      <c r="R21" s="186">
        <v>6</v>
      </c>
      <c r="S21" s="187" t="s">
        <v>16</v>
      </c>
    </row>
    <row r="22" spans="1:19" x14ac:dyDescent="0.2">
      <c r="A22" s="195"/>
      <c r="B22" s="195"/>
      <c r="C22" s="195"/>
      <c r="D22" s="121"/>
      <c r="E22" s="191"/>
      <c r="F22" s="121"/>
      <c r="G22" s="121"/>
      <c r="H22" s="121"/>
      <c r="I22" s="121"/>
      <c r="J22" s="195" t="s">
        <v>479</v>
      </c>
      <c r="K22" s="195" t="s">
        <v>26</v>
      </c>
      <c r="L22" s="195" t="s">
        <v>441</v>
      </c>
      <c r="M22" s="121" t="s">
        <v>46</v>
      </c>
      <c r="N22" s="196">
        <v>0</v>
      </c>
      <c r="O22" s="200">
        <v>0</v>
      </c>
      <c r="P22" s="200">
        <v>0</v>
      </c>
      <c r="Q22" s="200">
        <v>0</v>
      </c>
      <c r="R22" s="121"/>
      <c r="S22" s="44" t="s">
        <v>407</v>
      </c>
    </row>
    <row r="23" spans="1:19" ht="15" customHeight="1" x14ac:dyDescent="0.2">
      <c r="A23" s="195"/>
      <c r="B23" s="195"/>
      <c r="C23" s="195"/>
      <c r="D23" s="121"/>
      <c r="E23" s="191"/>
      <c r="F23" s="121"/>
      <c r="G23" s="121"/>
      <c r="H23" s="121"/>
      <c r="I23" s="186">
        <v>5</v>
      </c>
      <c r="J23" s="195" t="s">
        <v>479</v>
      </c>
      <c r="K23" s="195" t="s">
        <v>26</v>
      </c>
      <c r="L23" s="195" t="s">
        <v>441</v>
      </c>
      <c r="M23" s="121" t="s">
        <v>47</v>
      </c>
      <c r="N23" s="197">
        <v>157398.37</v>
      </c>
      <c r="O23" s="198">
        <v>4</v>
      </c>
      <c r="P23" s="198">
        <v>19</v>
      </c>
      <c r="Q23" s="198">
        <v>19</v>
      </c>
      <c r="R23" s="186">
        <v>5</v>
      </c>
      <c r="S23" s="187" t="s">
        <v>17</v>
      </c>
    </row>
    <row r="24" spans="1:19" ht="15" customHeight="1" x14ac:dyDescent="0.2">
      <c r="A24" s="195"/>
      <c r="B24" s="195"/>
      <c r="C24" s="195"/>
      <c r="D24" s="121"/>
      <c r="E24" s="191"/>
      <c r="F24" s="121"/>
      <c r="G24" s="121"/>
      <c r="H24" s="121"/>
      <c r="I24" s="45"/>
      <c r="J24" s="195" t="s">
        <v>479</v>
      </c>
      <c r="K24" s="195" t="s">
        <v>26</v>
      </c>
      <c r="L24" s="195" t="s">
        <v>441</v>
      </c>
      <c r="M24" s="121" t="s">
        <v>48</v>
      </c>
      <c r="N24" s="196">
        <v>0</v>
      </c>
      <c r="O24" s="200">
        <v>0</v>
      </c>
      <c r="P24" s="200">
        <v>0</v>
      </c>
      <c r="Q24" s="200">
        <v>0</v>
      </c>
      <c r="S24" s="44" t="s">
        <v>407</v>
      </c>
    </row>
    <row r="25" spans="1:19" ht="15" customHeight="1" x14ac:dyDescent="0.2">
      <c r="A25" s="195"/>
      <c r="B25" s="195"/>
      <c r="C25" s="195"/>
      <c r="D25" s="121"/>
      <c r="E25" s="191"/>
      <c r="F25" s="121"/>
      <c r="G25" s="121"/>
      <c r="H25" s="121"/>
      <c r="I25" s="45"/>
      <c r="J25" s="195" t="s">
        <v>479</v>
      </c>
      <c r="K25" s="195" t="s">
        <v>26</v>
      </c>
      <c r="L25" s="195" t="s">
        <v>441</v>
      </c>
      <c r="M25" s="121" t="s">
        <v>319</v>
      </c>
      <c r="N25" s="196">
        <v>0</v>
      </c>
      <c r="O25" s="200">
        <v>0</v>
      </c>
      <c r="P25" s="200">
        <v>0</v>
      </c>
      <c r="Q25" s="200">
        <v>0</v>
      </c>
      <c r="S25" s="44" t="s">
        <v>18</v>
      </c>
    </row>
    <row r="26" spans="1:19" ht="15" customHeight="1" x14ac:dyDescent="0.2">
      <c r="A26" s="195"/>
      <c r="B26" s="195"/>
      <c r="C26" s="195"/>
      <c r="D26" s="121"/>
      <c r="E26" s="191"/>
      <c r="F26" s="121"/>
      <c r="G26" s="121"/>
      <c r="H26" s="121"/>
      <c r="I26" s="190" t="s">
        <v>421</v>
      </c>
      <c r="J26" s="195" t="s">
        <v>479</v>
      </c>
      <c r="K26" s="195" t="s">
        <v>26</v>
      </c>
      <c r="L26" s="195" t="s">
        <v>441</v>
      </c>
      <c r="M26" s="121" t="s">
        <v>320</v>
      </c>
      <c r="N26" s="199">
        <v>4300</v>
      </c>
      <c r="O26" s="198">
        <v>1</v>
      </c>
      <c r="P26" s="198">
        <v>0</v>
      </c>
      <c r="Q26" s="198">
        <v>0</v>
      </c>
      <c r="R26" s="190" t="s">
        <v>421</v>
      </c>
      <c r="S26" s="187" t="s">
        <v>358</v>
      </c>
    </row>
    <row r="27" spans="1:19" x14ac:dyDescent="0.2">
      <c r="A27" s="195"/>
      <c r="B27" s="195"/>
      <c r="C27" s="195"/>
      <c r="D27" s="121"/>
      <c r="E27" s="191"/>
      <c r="F27" s="121"/>
      <c r="G27" s="121"/>
      <c r="H27" s="121"/>
      <c r="I27" s="190" t="s">
        <v>415</v>
      </c>
      <c r="J27" s="195" t="s">
        <v>479</v>
      </c>
      <c r="K27" s="195" t="s">
        <v>26</v>
      </c>
      <c r="L27" s="195" t="s">
        <v>441</v>
      </c>
      <c r="M27" s="121" t="s">
        <v>321</v>
      </c>
      <c r="N27" s="199">
        <v>0</v>
      </c>
      <c r="O27" s="198">
        <v>0</v>
      </c>
      <c r="P27" s="198">
        <v>0</v>
      </c>
      <c r="Q27" s="198">
        <v>0</v>
      </c>
      <c r="R27" s="190" t="s">
        <v>415</v>
      </c>
      <c r="S27" s="187" t="s">
        <v>408</v>
      </c>
    </row>
    <row r="28" spans="1:19" x14ac:dyDescent="0.2">
      <c r="A28" s="195"/>
      <c r="B28" s="195"/>
      <c r="C28" s="195"/>
      <c r="D28" s="121"/>
      <c r="E28" s="191"/>
      <c r="F28" s="121"/>
      <c r="G28" s="121"/>
      <c r="H28" s="121"/>
      <c r="J28" s="195" t="s">
        <v>479</v>
      </c>
      <c r="K28" s="195" t="s">
        <v>26</v>
      </c>
      <c r="L28" s="195" t="s">
        <v>441</v>
      </c>
      <c r="M28" s="121" t="s">
        <v>322</v>
      </c>
      <c r="N28" s="196">
        <v>0</v>
      </c>
      <c r="O28" s="200">
        <v>0</v>
      </c>
      <c r="P28" s="200">
        <v>0</v>
      </c>
      <c r="Q28" s="200">
        <v>0</v>
      </c>
      <c r="S28" s="44" t="s">
        <v>215</v>
      </c>
    </row>
    <row r="29" spans="1:19" x14ac:dyDescent="0.2">
      <c r="A29" s="195"/>
      <c r="B29" s="195"/>
      <c r="C29" s="195"/>
      <c r="D29" s="121"/>
      <c r="E29" s="191"/>
      <c r="F29" s="121"/>
      <c r="G29" s="121"/>
      <c r="H29" s="121"/>
      <c r="J29" s="195" t="s">
        <v>479</v>
      </c>
      <c r="K29" s="195" t="s">
        <v>26</v>
      </c>
      <c r="L29" s="195" t="s">
        <v>441</v>
      </c>
      <c r="M29" s="121" t="s">
        <v>391</v>
      </c>
      <c r="N29" s="196">
        <v>0</v>
      </c>
      <c r="O29" s="200">
        <v>0</v>
      </c>
      <c r="P29" s="200">
        <v>0</v>
      </c>
      <c r="Q29" s="200">
        <v>0</v>
      </c>
      <c r="S29" s="44" t="s">
        <v>409</v>
      </c>
    </row>
    <row r="30" spans="1:19" ht="15" customHeight="1" x14ac:dyDescent="0.2">
      <c r="A30" s="195"/>
      <c r="B30" s="195"/>
      <c r="C30" s="195"/>
      <c r="D30" s="121"/>
      <c r="E30" s="191"/>
      <c r="F30" s="121"/>
      <c r="G30" s="121"/>
      <c r="H30" s="121"/>
      <c r="J30" s="195" t="s">
        <v>479</v>
      </c>
      <c r="K30" s="195" t="s">
        <v>26</v>
      </c>
      <c r="L30" s="195" t="s">
        <v>441</v>
      </c>
      <c r="M30" s="121" t="s">
        <v>392</v>
      </c>
      <c r="N30" s="196">
        <v>0</v>
      </c>
      <c r="O30" s="200">
        <v>0</v>
      </c>
      <c r="P30" s="200">
        <v>0</v>
      </c>
      <c r="Q30" s="200">
        <v>0</v>
      </c>
      <c r="S30" s="44" t="s">
        <v>410</v>
      </c>
    </row>
    <row r="31" spans="1:19" x14ac:dyDescent="0.2">
      <c r="A31" s="195"/>
      <c r="B31" s="195"/>
      <c r="C31" s="195"/>
      <c r="D31" s="121"/>
      <c r="E31" s="191"/>
      <c r="F31" s="121"/>
      <c r="G31" s="121"/>
      <c r="H31" s="121"/>
      <c r="J31" s="195" t="s">
        <v>479</v>
      </c>
      <c r="K31" s="195" t="s">
        <v>26</v>
      </c>
      <c r="L31" s="195" t="s">
        <v>441</v>
      </c>
      <c r="M31" s="121" t="s">
        <v>393</v>
      </c>
      <c r="N31" s="196">
        <v>0</v>
      </c>
      <c r="O31" s="200">
        <v>0</v>
      </c>
      <c r="P31" s="200">
        <v>0</v>
      </c>
      <c r="Q31" s="200">
        <v>0</v>
      </c>
      <c r="S31" s="44" t="s">
        <v>411</v>
      </c>
    </row>
    <row r="32" spans="1:19" x14ac:dyDescent="0.2">
      <c r="A32" s="195"/>
      <c r="B32" s="195"/>
      <c r="C32" s="195"/>
      <c r="D32" s="201"/>
      <c r="E32" s="202"/>
      <c r="F32" s="201"/>
      <c r="G32" s="201"/>
      <c r="H32" s="201"/>
      <c r="J32" s="195" t="s">
        <v>479</v>
      </c>
      <c r="K32" s="195" t="s">
        <v>26</v>
      </c>
      <c r="L32" s="195" t="s">
        <v>441</v>
      </c>
      <c r="M32" s="201" t="s">
        <v>394</v>
      </c>
      <c r="N32" s="203">
        <v>10532102.42</v>
      </c>
      <c r="O32" s="204">
        <v>690</v>
      </c>
      <c r="P32" s="204">
        <v>614</v>
      </c>
      <c r="Q32" s="204">
        <v>540</v>
      </c>
      <c r="S32" s="185" t="s">
        <v>412</v>
      </c>
    </row>
    <row r="33" spans="1:19" x14ac:dyDescent="0.2">
      <c r="A33" s="195"/>
      <c r="B33" s="195"/>
      <c r="C33" s="195"/>
      <c r="D33" s="121"/>
      <c r="E33" s="191"/>
      <c r="F33" s="121"/>
      <c r="G33" s="121"/>
      <c r="H33" s="121"/>
      <c r="J33" s="195" t="s">
        <v>479</v>
      </c>
      <c r="K33" s="195" t="s">
        <v>26</v>
      </c>
      <c r="L33" s="195" t="s">
        <v>441</v>
      </c>
      <c r="M33" s="121" t="s">
        <v>49</v>
      </c>
      <c r="N33" s="196">
        <v>960</v>
      </c>
      <c r="O33" s="200">
        <v>0</v>
      </c>
      <c r="P33" s="200">
        <v>0</v>
      </c>
      <c r="Q33" s="200">
        <v>0</v>
      </c>
      <c r="S33" s="44" t="s">
        <v>413</v>
      </c>
    </row>
    <row r="34" spans="1:19" x14ac:dyDescent="0.2">
      <c r="A34" s="195"/>
      <c r="B34" s="195"/>
      <c r="C34" s="195"/>
      <c r="D34" s="121"/>
      <c r="E34" s="191"/>
      <c r="F34" s="121"/>
      <c r="G34" s="121"/>
      <c r="H34" s="121"/>
      <c r="J34" s="195" t="s">
        <v>479</v>
      </c>
      <c r="K34" s="195" t="s">
        <v>26</v>
      </c>
      <c r="L34" s="195" t="s">
        <v>441</v>
      </c>
      <c r="M34" s="121" t="s">
        <v>50</v>
      </c>
      <c r="N34" s="196">
        <v>240</v>
      </c>
      <c r="O34" s="200">
        <v>0</v>
      </c>
      <c r="P34" s="200">
        <v>0</v>
      </c>
      <c r="Q34" s="200">
        <v>0</v>
      </c>
      <c r="S34" s="44" t="s">
        <v>414</v>
      </c>
    </row>
    <row r="35" spans="1:19" x14ac:dyDescent="0.2">
      <c r="D35" s="188" t="s">
        <v>89</v>
      </c>
      <c r="E35" s="192">
        <f>SUM(E3:E6,E21,E23)</f>
        <v>0</v>
      </c>
      <c r="F35" s="186">
        <f>SUM(F3:F6,F21,F23)</f>
        <v>0</v>
      </c>
      <c r="G35" s="186">
        <f>SUM(G3:G6,G21,G23)</f>
        <v>0</v>
      </c>
      <c r="H35" s="186">
        <f>SUM(H3:H6,H21,H23)</f>
        <v>0</v>
      </c>
      <c r="M35" s="188" t="s">
        <v>89</v>
      </c>
      <c r="N35" s="192">
        <f>SUM(N3:N6,N21,N23)</f>
        <v>4733130.2600000007</v>
      </c>
      <c r="O35" s="186">
        <f>SUM(O3:O6,O21,O23)</f>
        <v>295</v>
      </c>
      <c r="P35" s="186">
        <f>SUM(P3:P6,P21,P23)</f>
        <v>247</v>
      </c>
      <c r="Q35" s="186">
        <f>SUM(Q3:Q6,Q21,Q23)</f>
        <v>226</v>
      </c>
    </row>
    <row r="36" spans="1:19" x14ac:dyDescent="0.2">
      <c r="D36" s="45" t="s">
        <v>99</v>
      </c>
      <c r="E36" s="94">
        <f>E3+E4+E5+E6+E21+E23</f>
        <v>0</v>
      </c>
      <c r="F36" s="121">
        <f>F3+F4+F5+F6+F21+F23</f>
        <v>0</v>
      </c>
      <c r="G36" s="121">
        <f>G3+G4+G5+G6+G21+G23</f>
        <v>0</v>
      </c>
      <c r="H36" s="121">
        <f>H3+H4+H5+H6+H21+H23</f>
        <v>0</v>
      </c>
      <c r="M36" s="45" t="s">
        <v>99</v>
      </c>
      <c r="N36" s="94">
        <f>N3+N4+N5+N6+N21+N23</f>
        <v>4733130.2600000007</v>
      </c>
      <c r="O36" s="121">
        <f>O3+O4+O5+O6+O21+O23</f>
        <v>295</v>
      </c>
      <c r="P36" s="121">
        <f>P3+P4+P5+P6+P21+P23</f>
        <v>247</v>
      </c>
      <c r="Q36" s="121">
        <f>Q3+Q4+Q5+Q6+Q21+Q23</f>
        <v>226</v>
      </c>
    </row>
    <row r="37" spans="1:19" x14ac:dyDescent="0.2">
      <c r="D37" s="188" t="s">
        <v>272</v>
      </c>
      <c r="E37" s="192">
        <f>SUM(E3:E6,E15,E21,E23)</f>
        <v>0</v>
      </c>
      <c r="F37" s="186">
        <f>SUM(F3:F6,F15,F21,F23)</f>
        <v>0</v>
      </c>
      <c r="G37" s="186">
        <f>SUM(G3:G6,G15,G21,G23)</f>
        <v>0</v>
      </c>
      <c r="H37" s="186">
        <f>SUM(H3:H6,H15,H21,H23)</f>
        <v>0</v>
      </c>
      <c r="M37" s="188" t="s">
        <v>272</v>
      </c>
      <c r="N37" s="192">
        <f>SUM(N3:N6,N15,N21,N23)</f>
        <v>5214130.2600000007</v>
      </c>
      <c r="O37" s="186">
        <f>SUM(O3:O6,O15,O21,O23)</f>
        <v>332</v>
      </c>
      <c r="P37" s="186">
        <f>SUM(P3:P6,P15,P21,P23)</f>
        <v>299</v>
      </c>
      <c r="Q37" s="186">
        <f>SUM(Q3:Q6,Q15,Q21,Q23)</f>
        <v>266</v>
      </c>
    </row>
    <row r="38" spans="1:19" x14ac:dyDescent="0.2">
      <c r="D38" s="45" t="s">
        <v>99</v>
      </c>
      <c r="E38" s="94">
        <f>E3+E4+E5+E6+E15+E21+E23</f>
        <v>0</v>
      </c>
      <c r="F38" s="121">
        <f>F3+F4+F5+F6+F15+F21+F23</f>
        <v>0</v>
      </c>
      <c r="G38" s="121">
        <f>G3+G4+G5+G6+G15+G21+G23</f>
        <v>0</v>
      </c>
      <c r="H38" s="121">
        <f>H3+H4+H5+H6+H15+H21+H23</f>
        <v>0</v>
      </c>
      <c r="M38" s="45" t="s">
        <v>99</v>
      </c>
      <c r="N38" s="94">
        <f>N3+N4+N5+N6+N15+N21+N23</f>
        <v>5214130.2600000007</v>
      </c>
      <c r="O38" s="121">
        <f>O3+O4+O5+O6+O15+O21+O23</f>
        <v>332</v>
      </c>
      <c r="P38" s="121">
        <f>P3+P4+P5+P6+P15+P21+P23</f>
        <v>299</v>
      </c>
      <c r="Q38" s="121">
        <f>Q3+Q4+Q5+Q6+Q15+Q21+Q23</f>
        <v>266</v>
      </c>
    </row>
    <row r="39" spans="1:19" x14ac:dyDescent="0.2">
      <c r="D39" s="44"/>
      <c r="F39" s="45"/>
      <c r="G39" s="192" t="e">
        <f>SUM(H32)/G32*100</f>
        <v>#DIV/0!</v>
      </c>
      <c r="H39" s="193" t="e">
        <f>SUM(E32)/H32</f>
        <v>#DIV/0!</v>
      </c>
      <c r="P39" s="192">
        <f>SUM(Q32)/P32*100</f>
        <v>87.947882736156345</v>
      </c>
      <c r="Q39" s="193">
        <f>SUM(N32)/Q32</f>
        <v>19503.89337037037</v>
      </c>
    </row>
    <row r="40" spans="1:19" x14ac:dyDescent="0.2">
      <c r="D40" s="44"/>
      <c r="E40" s="196">
        <f>SUM(E3:E21,E23,E25:E31)</f>
        <v>0</v>
      </c>
      <c r="F40" s="200">
        <f>SUM(F3:F21,F23,F25:F31)</f>
        <v>0</v>
      </c>
      <c r="G40" s="200">
        <f>SUM(G3:G21,G23,G25:G31)</f>
        <v>0</v>
      </c>
      <c r="H40" s="200">
        <f>SUM(H3:H21,H23,H25:H31)</f>
        <v>0</v>
      </c>
      <c r="N40" s="196">
        <f>SUM(N3:N21,N23,N25:N31)</f>
        <v>5266051.21</v>
      </c>
      <c r="O40" s="200">
        <f>SUM(O3:O21,O23,O25:O31)</f>
        <v>345</v>
      </c>
      <c r="P40" s="200">
        <f>SUM(P3:P21,P23,P25:P31)</f>
        <v>307</v>
      </c>
      <c r="Q40" s="200">
        <f>SUM(Q3:Q21,Q23,Q25:Q31)</f>
        <v>270</v>
      </c>
    </row>
    <row r="41" spans="1:19" x14ac:dyDescent="0.2">
      <c r="D41" s="44"/>
      <c r="E41" s="191">
        <f>SUM(E2:E31)</f>
        <v>0</v>
      </c>
      <c r="F41" s="121">
        <f>SUM(F2:F31)</f>
        <v>0</v>
      </c>
      <c r="G41" s="121">
        <f>SUM(G2:G31)</f>
        <v>0</v>
      </c>
      <c r="H41" s="121">
        <f>SUM(H2:H31)</f>
        <v>0</v>
      </c>
      <c r="N41" s="191">
        <f>SUM(N2:N31)</f>
        <v>10532102.42</v>
      </c>
      <c r="O41" s="121">
        <f>SUM(O2:O31)</f>
        <v>690</v>
      </c>
      <c r="P41" s="121">
        <f>SUM(P2:P31)</f>
        <v>614</v>
      </c>
      <c r="Q41" s="121">
        <f>SUM(Q2:Q31)</f>
        <v>540</v>
      </c>
    </row>
    <row r="42" spans="1:19" x14ac:dyDescent="0.2">
      <c r="Q42" s="94"/>
    </row>
  </sheetData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Arkusz27">
    <tabColor theme="0"/>
  </sheetPr>
  <dimension ref="A1:S41"/>
  <sheetViews>
    <sheetView zoomScale="80" zoomScaleNormal="80" workbookViewId="0">
      <selection activeCell="J2" sqref="J2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195" t="s">
        <v>22</v>
      </c>
      <c r="B1" s="195" t="s">
        <v>23</v>
      </c>
      <c r="C1" s="195" t="s">
        <v>24</v>
      </c>
      <c r="D1" s="121" t="s">
        <v>25</v>
      </c>
      <c r="E1" s="193" t="s">
        <v>387</v>
      </c>
      <c r="F1" s="191" t="s">
        <v>388</v>
      </c>
      <c r="G1" s="191" t="s">
        <v>389</v>
      </c>
      <c r="H1" s="191" t="s">
        <v>390</v>
      </c>
      <c r="J1" s="195" t="s">
        <v>22</v>
      </c>
      <c r="K1" s="195" t="s">
        <v>23</v>
      </c>
      <c r="L1" s="195" t="s">
        <v>24</v>
      </c>
      <c r="M1" s="121" t="s">
        <v>25</v>
      </c>
      <c r="N1" s="193" t="s">
        <v>387</v>
      </c>
      <c r="O1" s="191" t="s">
        <v>388</v>
      </c>
      <c r="P1" s="191" t="s">
        <v>389</v>
      </c>
      <c r="Q1" s="191" t="s">
        <v>390</v>
      </c>
    </row>
    <row r="2" spans="1:19" ht="15" customHeight="1" x14ac:dyDescent="0.2">
      <c r="A2" s="195"/>
      <c r="B2" s="195"/>
      <c r="C2" s="195"/>
      <c r="D2" s="121"/>
      <c r="E2" s="191"/>
      <c r="F2" s="121"/>
      <c r="G2" s="121"/>
      <c r="H2" s="121"/>
      <c r="J2" s="195" t="s">
        <v>479</v>
      </c>
      <c r="K2" s="195" t="s">
        <v>26</v>
      </c>
      <c r="L2" s="195" t="s">
        <v>440</v>
      </c>
      <c r="M2" s="121" t="s">
        <v>27</v>
      </c>
      <c r="N2" s="196">
        <v>14707812.880000001</v>
      </c>
      <c r="O2" s="200">
        <v>882</v>
      </c>
      <c r="P2" s="200">
        <v>708</v>
      </c>
      <c r="Q2" s="200">
        <v>658</v>
      </c>
      <c r="S2" s="44" t="s">
        <v>395</v>
      </c>
    </row>
    <row r="3" spans="1:19" x14ac:dyDescent="0.2">
      <c r="A3" s="195"/>
      <c r="B3" s="195"/>
      <c r="C3" s="195"/>
      <c r="D3" s="121"/>
      <c r="E3" s="191"/>
      <c r="F3" s="121"/>
      <c r="G3" s="121"/>
      <c r="H3" s="121"/>
      <c r="I3" s="186">
        <v>1</v>
      </c>
      <c r="J3" s="195" t="s">
        <v>479</v>
      </c>
      <c r="K3" s="195" t="s">
        <v>26</v>
      </c>
      <c r="L3" s="195" t="s">
        <v>440</v>
      </c>
      <c r="M3" s="121" t="s">
        <v>28</v>
      </c>
      <c r="N3" s="197">
        <v>4111367.9</v>
      </c>
      <c r="O3" s="198">
        <v>343</v>
      </c>
      <c r="P3" s="198">
        <v>236</v>
      </c>
      <c r="Q3" s="198">
        <v>208</v>
      </c>
      <c r="R3" s="186">
        <v>1</v>
      </c>
      <c r="S3" s="187" t="s">
        <v>396</v>
      </c>
    </row>
    <row r="4" spans="1:19" x14ac:dyDescent="0.2">
      <c r="A4" s="195"/>
      <c r="B4" s="195"/>
      <c r="C4" s="195"/>
      <c r="D4" s="121"/>
      <c r="E4" s="191"/>
      <c r="F4" s="121"/>
      <c r="G4" s="121"/>
      <c r="H4" s="121"/>
      <c r="I4" s="186">
        <v>2</v>
      </c>
      <c r="J4" s="195" t="s">
        <v>479</v>
      </c>
      <c r="K4" s="195" t="s">
        <v>26</v>
      </c>
      <c r="L4" s="195" t="s">
        <v>440</v>
      </c>
      <c r="M4" s="121" t="s">
        <v>29</v>
      </c>
      <c r="N4" s="197">
        <v>155614.10999999999</v>
      </c>
      <c r="O4" s="198">
        <v>17</v>
      </c>
      <c r="P4" s="198">
        <v>18</v>
      </c>
      <c r="Q4" s="198">
        <v>17</v>
      </c>
      <c r="R4" s="186">
        <v>2</v>
      </c>
      <c r="S4" s="187" t="s">
        <v>397</v>
      </c>
    </row>
    <row r="5" spans="1:19" x14ac:dyDescent="0.2">
      <c r="A5" s="195"/>
      <c r="B5" s="195"/>
      <c r="C5" s="195"/>
      <c r="D5" s="121"/>
      <c r="E5" s="191"/>
      <c r="F5" s="121"/>
      <c r="G5" s="121"/>
      <c r="H5" s="121"/>
      <c r="I5" s="186">
        <v>3</v>
      </c>
      <c r="J5" s="195" t="s">
        <v>479</v>
      </c>
      <c r="K5" s="195" t="s">
        <v>26</v>
      </c>
      <c r="L5" s="195" t="s">
        <v>440</v>
      </c>
      <c r="M5" s="121" t="s">
        <v>30</v>
      </c>
      <c r="N5" s="197">
        <v>1264066.8700000001</v>
      </c>
      <c r="O5" s="198">
        <v>191</v>
      </c>
      <c r="P5" s="198">
        <v>138</v>
      </c>
      <c r="Q5" s="198">
        <v>136</v>
      </c>
      <c r="R5" s="186">
        <v>3</v>
      </c>
      <c r="S5" s="187" t="s">
        <v>399</v>
      </c>
    </row>
    <row r="6" spans="1:19" x14ac:dyDescent="0.2">
      <c r="A6" s="195"/>
      <c r="B6" s="195"/>
      <c r="C6" s="195"/>
      <c r="D6" s="121"/>
      <c r="E6" s="191"/>
      <c r="F6" s="121"/>
      <c r="G6" s="121"/>
      <c r="H6" s="121"/>
      <c r="I6" s="186">
        <v>4</v>
      </c>
      <c r="J6" s="195" t="s">
        <v>479</v>
      </c>
      <c r="K6" s="195" t="s">
        <v>26</v>
      </c>
      <c r="L6" s="195" t="s">
        <v>440</v>
      </c>
      <c r="M6" s="121" t="s">
        <v>31</v>
      </c>
      <c r="N6" s="197">
        <v>1315618.08</v>
      </c>
      <c r="O6" s="198">
        <v>63</v>
      </c>
      <c r="P6" s="198">
        <v>60</v>
      </c>
      <c r="Q6" s="198">
        <v>60</v>
      </c>
      <c r="R6" s="186">
        <v>4</v>
      </c>
      <c r="S6" s="187" t="s">
        <v>398</v>
      </c>
    </row>
    <row r="7" spans="1:19" x14ac:dyDescent="0.2">
      <c r="A7" s="195"/>
      <c r="B7" s="195"/>
      <c r="C7" s="195"/>
      <c r="D7" s="121"/>
      <c r="E7" s="191"/>
      <c r="F7" s="121"/>
      <c r="G7" s="121"/>
      <c r="H7" s="121"/>
      <c r="I7" s="189" t="s">
        <v>417</v>
      </c>
      <c r="J7" s="195" t="s">
        <v>479</v>
      </c>
      <c r="K7" s="195" t="s">
        <v>26</v>
      </c>
      <c r="L7" s="195" t="s">
        <v>440</v>
      </c>
      <c r="M7" s="121" t="s">
        <v>32</v>
      </c>
      <c r="N7" s="199">
        <v>22911.599999999999</v>
      </c>
      <c r="O7" s="198">
        <v>13</v>
      </c>
      <c r="P7" s="198">
        <v>11</v>
      </c>
      <c r="Q7" s="198">
        <v>0</v>
      </c>
      <c r="R7" s="189" t="s">
        <v>417</v>
      </c>
      <c r="S7" s="187" t="s">
        <v>400</v>
      </c>
    </row>
    <row r="8" spans="1:19" x14ac:dyDescent="0.2">
      <c r="A8" s="195"/>
      <c r="B8" s="195"/>
      <c r="C8" s="195"/>
      <c r="D8" s="121"/>
      <c r="E8" s="191"/>
      <c r="F8" s="121"/>
      <c r="G8" s="121"/>
      <c r="H8" s="121"/>
      <c r="I8" s="121"/>
      <c r="J8" s="195" t="s">
        <v>479</v>
      </c>
      <c r="K8" s="195" t="s">
        <v>26</v>
      </c>
      <c r="L8" s="195" t="s">
        <v>440</v>
      </c>
      <c r="M8" s="121" t="s">
        <v>33</v>
      </c>
      <c r="N8" s="196">
        <v>0</v>
      </c>
      <c r="O8" s="200">
        <v>0</v>
      </c>
      <c r="P8" s="200">
        <v>0</v>
      </c>
      <c r="Q8" s="200">
        <v>0</v>
      </c>
      <c r="R8" s="121"/>
      <c r="S8" s="44" t="s">
        <v>401</v>
      </c>
    </row>
    <row r="9" spans="1:19" x14ac:dyDescent="0.2">
      <c r="A9" s="195"/>
      <c r="B9" s="195"/>
      <c r="C9" s="195"/>
      <c r="D9" s="121"/>
      <c r="E9" s="191"/>
      <c r="F9" s="121"/>
      <c r="G9" s="121"/>
      <c r="H9" s="121"/>
      <c r="I9" s="121"/>
      <c r="J9" s="195" t="s">
        <v>479</v>
      </c>
      <c r="K9" s="195" t="s">
        <v>26</v>
      </c>
      <c r="L9" s="195" t="s">
        <v>440</v>
      </c>
      <c r="M9" s="121" t="s">
        <v>34</v>
      </c>
      <c r="N9" s="196">
        <v>0</v>
      </c>
      <c r="O9" s="200">
        <v>0</v>
      </c>
      <c r="P9" s="200">
        <v>0</v>
      </c>
      <c r="Q9" s="200">
        <v>0</v>
      </c>
      <c r="R9" s="121"/>
      <c r="S9" s="44" t="s">
        <v>6</v>
      </c>
    </row>
    <row r="10" spans="1:19" ht="15" customHeight="1" x14ac:dyDescent="0.2">
      <c r="A10" s="195"/>
      <c r="B10" s="195"/>
      <c r="C10" s="195"/>
      <c r="D10" s="121"/>
      <c r="E10" s="191"/>
      <c r="F10" s="121"/>
      <c r="G10" s="121"/>
      <c r="H10" s="121"/>
      <c r="I10" s="121"/>
      <c r="J10" s="195" t="s">
        <v>479</v>
      </c>
      <c r="K10" s="195" t="s">
        <v>26</v>
      </c>
      <c r="L10" s="195" t="s">
        <v>440</v>
      </c>
      <c r="M10" s="121" t="s">
        <v>35</v>
      </c>
      <c r="N10" s="196">
        <v>0</v>
      </c>
      <c r="O10" s="200">
        <v>0</v>
      </c>
      <c r="P10" s="200">
        <v>0</v>
      </c>
      <c r="Q10" s="200">
        <v>0</v>
      </c>
      <c r="R10" s="121"/>
      <c r="S10" s="44" t="s">
        <v>402</v>
      </c>
    </row>
    <row r="11" spans="1:19" ht="15" customHeight="1" x14ac:dyDescent="0.2">
      <c r="A11" s="195"/>
      <c r="B11" s="195"/>
      <c r="C11" s="195"/>
      <c r="D11" s="121"/>
      <c r="E11" s="191"/>
      <c r="F11" s="121"/>
      <c r="G11" s="121"/>
      <c r="H11" s="121"/>
      <c r="I11" s="121"/>
      <c r="J11" s="195" t="s">
        <v>479</v>
      </c>
      <c r="K11" s="195" t="s">
        <v>26</v>
      </c>
      <c r="L11" s="195" t="s">
        <v>440</v>
      </c>
      <c r="M11" s="121" t="s">
        <v>36</v>
      </c>
      <c r="N11" s="196">
        <v>0</v>
      </c>
      <c r="O11" s="200">
        <v>0</v>
      </c>
      <c r="P11" s="200">
        <v>0</v>
      </c>
      <c r="Q11" s="200">
        <v>0</v>
      </c>
      <c r="R11" s="121"/>
      <c r="S11" s="44" t="s">
        <v>8</v>
      </c>
    </row>
    <row r="12" spans="1:19" x14ac:dyDescent="0.2">
      <c r="A12" s="195"/>
      <c r="B12" s="195"/>
      <c r="C12" s="195"/>
      <c r="D12" s="121"/>
      <c r="E12" s="191"/>
      <c r="F12" s="121"/>
      <c r="G12" s="121"/>
      <c r="H12" s="121"/>
      <c r="I12" s="121"/>
      <c r="J12" s="195" t="s">
        <v>479</v>
      </c>
      <c r="K12" s="195" t="s">
        <v>26</v>
      </c>
      <c r="L12" s="195" t="s">
        <v>440</v>
      </c>
      <c r="M12" s="121" t="s">
        <v>37</v>
      </c>
      <c r="N12" s="196">
        <v>0</v>
      </c>
      <c r="O12" s="200">
        <v>0</v>
      </c>
      <c r="P12" s="200">
        <v>0</v>
      </c>
      <c r="Q12" s="200">
        <v>0</v>
      </c>
      <c r="R12" s="121"/>
      <c r="S12" s="44" t="s">
        <v>403</v>
      </c>
    </row>
    <row r="13" spans="1:19" x14ac:dyDescent="0.2">
      <c r="A13" s="195"/>
      <c r="B13" s="195"/>
      <c r="C13" s="195"/>
      <c r="D13" s="121"/>
      <c r="E13" s="191"/>
      <c r="F13" s="121"/>
      <c r="G13" s="121"/>
      <c r="H13" s="121"/>
      <c r="I13" s="189" t="s">
        <v>419</v>
      </c>
      <c r="J13" s="195" t="s">
        <v>479</v>
      </c>
      <c r="K13" s="195" t="s">
        <v>26</v>
      </c>
      <c r="L13" s="195" t="s">
        <v>440</v>
      </c>
      <c r="M13" s="121" t="s">
        <v>26</v>
      </c>
      <c r="N13" s="199">
        <v>0</v>
      </c>
      <c r="O13" s="198">
        <v>0</v>
      </c>
      <c r="P13" s="198">
        <v>0</v>
      </c>
      <c r="Q13" s="198">
        <v>0</v>
      </c>
      <c r="R13" s="189" t="s">
        <v>419</v>
      </c>
      <c r="S13" s="187" t="s">
        <v>9</v>
      </c>
    </row>
    <row r="14" spans="1:19" ht="15" customHeight="1" x14ac:dyDescent="0.2">
      <c r="A14" s="195"/>
      <c r="B14" s="195"/>
      <c r="C14" s="195"/>
      <c r="D14" s="121"/>
      <c r="E14" s="191"/>
      <c r="F14" s="121"/>
      <c r="G14" s="121"/>
      <c r="H14" s="121"/>
      <c r="I14" s="121"/>
      <c r="J14" s="195" t="s">
        <v>479</v>
      </c>
      <c r="K14" s="195" t="s">
        <v>26</v>
      </c>
      <c r="L14" s="195" t="s">
        <v>440</v>
      </c>
      <c r="M14" s="121" t="s">
        <v>38</v>
      </c>
      <c r="N14" s="196">
        <v>0</v>
      </c>
      <c r="O14" s="200">
        <v>0</v>
      </c>
      <c r="P14" s="200">
        <v>0</v>
      </c>
      <c r="Q14" s="200">
        <v>0</v>
      </c>
      <c r="R14" s="121"/>
      <c r="S14" s="44" t="s">
        <v>404</v>
      </c>
    </row>
    <row r="15" spans="1:19" ht="15" customHeight="1" x14ac:dyDescent="0.2">
      <c r="A15" s="195"/>
      <c r="B15" s="195"/>
      <c r="C15" s="195"/>
      <c r="D15" s="121"/>
      <c r="E15" s="191"/>
      <c r="F15" s="121"/>
      <c r="G15" s="121"/>
      <c r="H15" s="121"/>
      <c r="I15" s="189" t="s">
        <v>51</v>
      </c>
      <c r="J15" s="195" t="s">
        <v>479</v>
      </c>
      <c r="K15" s="195" t="s">
        <v>26</v>
      </c>
      <c r="L15" s="195" t="s">
        <v>440</v>
      </c>
      <c r="M15" s="121" t="s">
        <v>39</v>
      </c>
      <c r="N15" s="199">
        <v>936000</v>
      </c>
      <c r="O15" s="198">
        <v>72</v>
      </c>
      <c r="P15" s="198">
        <v>59</v>
      </c>
      <c r="Q15" s="198">
        <v>53</v>
      </c>
      <c r="R15" s="189" t="s">
        <v>51</v>
      </c>
      <c r="S15" s="187" t="s">
        <v>11</v>
      </c>
    </row>
    <row r="16" spans="1:19" x14ac:dyDescent="0.2">
      <c r="A16" s="195"/>
      <c r="B16" s="195"/>
      <c r="C16" s="195"/>
      <c r="D16" s="121"/>
      <c r="E16" s="191"/>
      <c r="F16" s="121"/>
      <c r="G16" s="121"/>
      <c r="H16" s="121"/>
      <c r="I16" s="189" t="s">
        <v>418</v>
      </c>
      <c r="J16" s="195" t="s">
        <v>479</v>
      </c>
      <c r="K16" s="195" t="s">
        <v>26</v>
      </c>
      <c r="L16" s="195" t="s">
        <v>440</v>
      </c>
      <c r="M16" s="121" t="s">
        <v>40</v>
      </c>
      <c r="N16" s="199">
        <v>0</v>
      </c>
      <c r="O16" s="198">
        <v>0</v>
      </c>
      <c r="P16" s="198">
        <v>0</v>
      </c>
      <c r="Q16" s="198">
        <v>0</v>
      </c>
      <c r="R16" s="189" t="s">
        <v>418</v>
      </c>
      <c r="S16" s="187" t="s">
        <v>405</v>
      </c>
    </row>
    <row r="17" spans="1:19" x14ac:dyDescent="0.2">
      <c r="A17" s="195"/>
      <c r="B17" s="195"/>
      <c r="C17" s="195"/>
      <c r="D17" s="121"/>
      <c r="E17" s="191"/>
      <c r="F17" s="121"/>
      <c r="G17" s="121"/>
      <c r="H17" s="121"/>
      <c r="I17" s="121"/>
      <c r="J17" s="195" t="s">
        <v>479</v>
      </c>
      <c r="K17" s="195" t="s">
        <v>26</v>
      </c>
      <c r="L17" s="195" t="s">
        <v>440</v>
      </c>
      <c r="M17" s="121" t="s">
        <v>41</v>
      </c>
      <c r="N17" s="196">
        <v>0</v>
      </c>
      <c r="O17" s="200">
        <v>0</v>
      </c>
      <c r="P17" s="200">
        <v>0</v>
      </c>
      <c r="Q17" s="200">
        <v>0</v>
      </c>
      <c r="R17" s="121"/>
      <c r="S17" s="44" t="s">
        <v>406</v>
      </c>
    </row>
    <row r="18" spans="1:19" ht="15" customHeight="1" x14ac:dyDescent="0.2">
      <c r="A18" s="195"/>
      <c r="B18" s="195"/>
      <c r="C18" s="195"/>
      <c r="D18" s="121"/>
      <c r="E18" s="191"/>
      <c r="F18" s="121"/>
      <c r="G18" s="121"/>
      <c r="H18" s="121"/>
      <c r="I18" s="189" t="s">
        <v>420</v>
      </c>
      <c r="J18" s="195" t="s">
        <v>479</v>
      </c>
      <c r="K18" s="195" t="s">
        <v>26</v>
      </c>
      <c r="L18" s="195" t="s">
        <v>440</v>
      </c>
      <c r="M18" s="121" t="s">
        <v>42</v>
      </c>
      <c r="N18" s="199">
        <v>0</v>
      </c>
      <c r="O18" s="198">
        <v>0</v>
      </c>
      <c r="P18" s="198">
        <v>0</v>
      </c>
      <c r="Q18" s="198">
        <v>0</v>
      </c>
      <c r="R18" s="189" t="s">
        <v>420</v>
      </c>
      <c r="S18" s="187" t="s">
        <v>376</v>
      </c>
    </row>
    <row r="19" spans="1:19" ht="15" customHeight="1" x14ac:dyDescent="0.2">
      <c r="A19" s="195"/>
      <c r="B19" s="195"/>
      <c r="C19" s="195"/>
      <c r="D19" s="121"/>
      <c r="E19" s="191"/>
      <c r="F19" s="121"/>
      <c r="G19" s="121"/>
      <c r="H19" s="121"/>
      <c r="I19" s="189" t="s">
        <v>416</v>
      </c>
      <c r="J19" s="195" t="s">
        <v>479</v>
      </c>
      <c r="K19" s="195" t="s">
        <v>26</v>
      </c>
      <c r="L19" s="195" t="s">
        <v>440</v>
      </c>
      <c r="M19" s="121" t="s">
        <v>43</v>
      </c>
      <c r="N19" s="199">
        <v>0</v>
      </c>
      <c r="O19" s="198">
        <v>0</v>
      </c>
      <c r="P19" s="198">
        <v>0</v>
      </c>
      <c r="Q19" s="198">
        <v>0</v>
      </c>
      <c r="R19" s="189" t="s">
        <v>416</v>
      </c>
      <c r="S19" s="187" t="s">
        <v>377</v>
      </c>
    </row>
    <row r="20" spans="1:19" x14ac:dyDescent="0.2">
      <c r="A20" s="195"/>
      <c r="B20" s="195"/>
      <c r="C20" s="195"/>
      <c r="D20" s="121"/>
      <c r="E20" s="191"/>
      <c r="F20" s="121"/>
      <c r="G20" s="121"/>
      <c r="H20" s="121"/>
      <c r="I20" s="121"/>
      <c r="J20" s="195" t="s">
        <v>479</v>
      </c>
      <c r="K20" s="195" t="s">
        <v>26</v>
      </c>
      <c r="L20" s="195" t="s">
        <v>440</v>
      </c>
      <c r="M20" s="121" t="s">
        <v>44</v>
      </c>
      <c r="N20" s="196">
        <v>0</v>
      </c>
      <c r="O20" s="200">
        <v>0</v>
      </c>
      <c r="P20" s="200">
        <v>0</v>
      </c>
      <c r="Q20" s="200">
        <v>0</v>
      </c>
      <c r="R20" s="121"/>
      <c r="S20" s="44" t="s">
        <v>15</v>
      </c>
    </row>
    <row r="21" spans="1:19" x14ac:dyDescent="0.2">
      <c r="A21" s="195"/>
      <c r="B21" s="195"/>
      <c r="C21" s="195"/>
      <c r="D21" s="121"/>
      <c r="E21" s="191"/>
      <c r="F21" s="121"/>
      <c r="G21" s="121"/>
      <c r="H21" s="121"/>
      <c r="I21" s="186">
        <v>6</v>
      </c>
      <c r="J21" s="195" t="s">
        <v>479</v>
      </c>
      <c r="K21" s="195" t="s">
        <v>26</v>
      </c>
      <c r="L21" s="195" t="s">
        <v>440</v>
      </c>
      <c r="M21" s="121" t="s">
        <v>45</v>
      </c>
      <c r="N21" s="197">
        <v>4438594.92</v>
      </c>
      <c r="O21" s="198">
        <v>116</v>
      </c>
      <c r="P21" s="198">
        <v>132</v>
      </c>
      <c r="Q21" s="198">
        <v>131</v>
      </c>
      <c r="R21" s="186">
        <v>6</v>
      </c>
      <c r="S21" s="187" t="s">
        <v>16</v>
      </c>
    </row>
    <row r="22" spans="1:19" x14ac:dyDescent="0.2">
      <c r="A22" s="195"/>
      <c r="B22" s="195"/>
      <c r="C22" s="195"/>
      <c r="D22" s="121"/>
      <c r="E22" s="191"/>
      <c r="F22" s="121"/>
      <c r="G22" s="121"/>
      <c r="H22" s="121"/>
      <c r="I22" s="121"/>
      <c r="J22" s="195" t="s">
        <v>479</v>
      </c>
      <c r="K22" s="195" t="s">
        <v>26</v>
      </c>
      <c r="L22" s="195" t="s">
        <v>440</v>
      </c>
      <c r="M22" s="121" t="s">
        <v>46</v>
      </c>
      <c r="N22" s="196">
        <v>0</v>
      </c>
      <c r="O22" s="200">
        <v>0</v>
      </c>
      <c r="P22" s="200">
        <v>0</v>
      </c>
      <c r="Q22" s="200">
        <v>0</v>
      </c>
      <c r="R22" s="121"/>
      <c r="S22" s="44" t="s">
        <v>407</v>
      </c>
    </row>
    <row r="23" spans="1:19" ht="15" customHeight="1" x14ac:dyDescent="0.2">
      <c r="A23" s="195"/>
      <c r="B23" s="195"/>
      <c r="C23" s="195"/>
      <c r="D23" s="121"/>
      <c r="E23" s="191"/>
      <c r="F23" s="121"/>
      <c r="G23" s="121"/>
      <c r="H23" s="121"/>
      <c r="I23" s="186">
        <v>5</v>
      </c>
      <c r="J23" s="195" t="s">
        <v>479</v>
      </c>
      <c r="K23" s="195" t="s">
        <v>26</v>
      </c>
      <c r="L23" s="195" t="s">
        <v>440</v>
      </c>
      <c r="M23" s="121" t="s">
        <v>47</v>
      </c>
      <c r="N23" s="197">
        <v>2327284.88</v>
      </c>
      <c r="O23" s="198">
        <v>58</v>
      </c>
      <c r="P23" s="198">
        <v>48</v>
      </c>
      <c r="Q23" s="198">
        <v>47</v>
      </c>
      <c r="R23" s="186">
        <v>5</v>
      </c>
      <c r="S23" s="187" t="s">
        <v>17</v>
      </c>
    </row>
    <row r="24" spans="1:19" ht="15" customHeight="1" x14ac:dyDescent="0.2">
      <c r="A24" s="195"/>
      <c r="B24" s="195"/>
      <c r="C24" s="195"/>
      <c r="D24" s="121"/>
      <c r="E24" s="191"/>
      <c r="F24" s="121"/>
      <c r="G24" s="121"/>
      <c r="H24" s="121"/>
      <c r="I24" s="45"/>
      <c r="J24" s="195" t="s">
        <v>479</v>
      </c>
      <c r="K24" s="195" t="s">
        <v>26</v>
      </c>
      <c r="L24" s="195" t="s">
        <v>440</v>
      </c>
      <c r="M24" s="121" t="s">
        <v>48</v>
      </c>
      <c r="N24" s="196">
        <v>0</v>
      </c>
      <c r="O24" s="200">
        <v>0</v>
      </c>
      <c r="P24" s="200">
        <v>0</v>
      </c>
      <c r="Q24" s="200">
        <v>0</v>
      </c>
      <c r="S24" s="44" t="s">
        <v>407</v>
      </c>
    </row>
    <row r="25" spans="1:19" ht="15" customHeight="1" x14ac:dyDescent="0.2">
      <c r="A25" s="195"/>
      <c r="B25" s="195"/>
      <c r="C25" s="195"/>
      <c r="D25" s="121"/>
      <c r="E25" s="191"/>
      <c r="F25" s="121"/>
      <c r="G25" s="121"/>
      <c r="H25" s="121"/>
      <c r="I25" s="45"/>
      <c r="J25" s="195" t="s">
        <v>479</v>
      </c>
      <c r="K25" s="195" t="s">
        <v>26</v>
      </c>
      <c r="L25" s="195" t="s">
        <v>440</v>
      </c>
      <c r="M25" s="121" t="s">
        <v>319</v>
      </c>
      <c r="N25" s="196">
        <v>0</v>
      </c>
      <c r="O25" s="200">
        <v>0</v>
      </c>
      <c r="P25" s="200">
        <v>0</v>
      </c>
      <c r="Q25" s="200">
        <v>0</v>
      </c>
      <c r="S25" s="44" t="s">
        <v>18</v>
      </c>
    </row>
    <row r="26" spans="1:19" ht="15" customHeight="1" x14ac:dyDescent="0.2">
      <c r="A26" s="195"/>
      <c r="B26" s="195"/>
      <c r="C26" s="195"/>
      <c r="D26" s="121"/>
      <c r="E26" s="191"/>
      <c r="F26" s="121"/>
      <c r="G26" s="121"/>
      <c r="H26" s="121"/>
      <c r="I26" s="190" t="s">
        <v>421</v>
      </c>
      <c r="J26" s="195" t="s">
        <v>479</v>
      </c>
      <c r="K26" s="195" t="s">
        <v>26</v>
      </c>
      <c r="L26" s="195" t="s">
        <v>440</v>
      </c>
      <c r="M26" s="121" t="s">
        <v>320</v>
      </c>
      <c r="N26" s="199">
        <v>0</v>
      </c>
      <c r="O26" s="198">
        <v>0</v>
      </c>
      <c r="P26" s="198">
        <v>0</v>
      </c>
      <c r="Q26" s="198">
        <v>0</v>
      </c>
      <c r="R26" s="190" t="s">
        <v>421</v>
      </c>
      <c r="S26" s="187" t="s">
        <v>358</v>
      </c>
    </row>
    <row r="27" spans="1:19" x14ac:dyDescent="0.2">
      <c r="A27" s="195"/>
      <c r="B27" s="195"/>
      <c r="C27" s="195"/>
      <c r="D27" s="121"/>
      <c r="E27" s="191"/>
      <c r="F27" s="121"/>
      <c r="G27" s="121"/>
      <c r="H27" s="121"/>
      <c r="I27" s="190" t="s">
        <v>415</v>
      </c>
      <c r="J27" s="195" t="s">
        <v>479</v>
      </c>
      <c r="K27" s="195" t="s">
        <v>26</v>
      </c>
      <c r="L27" s="195" t="s">
        <v>440</v>
      </c>
      <c r="M27" s="121" t="s">
        <v>321</v>
      </c>
      <c r="N27" s="199">
        <v>136354.51999999999</v>
      </c>
      <c r="O27" s="198">
        <v>9</v>
      </c>
      <c r="P27" s="198">
        <v>6</v>
      </c>
      <c r="Q27" s="198">
        <v>6</v>
      </c>
      <c r="R27" s="190" t="s">
        <v>415</v>
      </c>
      <c r="S27" s="187" t="s">
        <v>408</v>
      </c>
    </row>
    <row r="28" spans="1:19" x14ac:dyDescent="0.2">
      <c r="A28" s="195"/>
      <c r="B28" s="195"/>
      <c r="C28" s="195"/>
      <c r="D28" s="121"/>
      <c r="E28" s="191"/>
      <c r="F28" s="121"/>
      <c r="G28" s="121"/>
      <c r="H28" s="121"/>
      <c r="J28" s="195" t="s">
        <v>479</v>
      </c>
      <c r="K28" s="195" t="s">
        <v>26</v>
      </c>
      <c r="L28" s="195" t="s">
        <v>440</v>
      </c>
      <c r="M28" s="121" t="s">
        <v>322</v>
      </c>
      <c r="N28" s="196">
        <v>0</v>
      </c>
      <c r="O28" s="200">
        <v>0</v>
      </c>
      <c r="P28" s="200">
        <v>0</v>
      </c>
      <c r="Q28" s="200">
        <v>0</v>
      </c>
      <c r="S28" s="44" t="s">
        <v>215</v>
      </c>
    </row>
    <row r="29" spans="1:19" x14ac:dyDescent="0.2">
      <c r="A29" s="195"/>
      <c r="B29" s="195"/>
      <c r="C29" s="195"/>
      <c r="D29" s="121"/>
      <c r="E29" s="191"/>
      <c r="F29" s="121"/>
      <c r="G29" s="121"/>
      <c r="H29" s="121"/>
      <c r="J29" s="195" t="s">
        <v>479</v>
      </c>
      <c r="K29" s="195" t="s">
        <v>26</v>
      </c>
      <c r="L29" s="195" t="s">
        <v>440</v>
      </c>
      <c r="M29" s="121" t="s">
        <v>391</v>
      </c>
      <c r="N29" s="196">
        <v>0</v>
      </c>
      <c r="O29" s="200">
        <v>0</v>
      </c>
      <c r="P29" s="200">
        <v>0</v>
      </c>
      <c r="Q29" s="200">
        <v>0</v>
      </c>
      <c r="S29" s="44" t="s">
        <v>409</v>
      </c>
    </row>
    <row r="30" spans="1:19" ht="15" customHeight="1" x14ac:dyDescent="0.2">
      <c r="A30" s="195"/>
      <c r="B30" s="195"/>
      <c r="C30" s="195"/>
      <c r="D30" s="121"/>
      <c r="E30" s="191"/>
      <c r="F30" s="121"/>
      <c r="G30" s="121"/>
      <c r="H30" s="121"/>
      <c r="J30" s="195" t="s">
        <v>479</v>
      </c>
      <c r="K30" s="195" t="s">
        <v>26</v>
      </c>
      <c r="L30" s="195" t="s">
        <v>440</v>
      </c>
      <c r="M30" s="121" t="s">
        <v>392</v>
      </c>
      <c r="N30" s="196">
        <v>0</v>
      </c>
      <c r="O30" s="200">
        <v>0</v>
      </c>
      <c r="P30" s="200">
        <v>0</v>
      </c>
      <c r="Q30" s="200">
        <v>0</v>
      </c>
      <c r="S30" s="44" t="s">
        <v>410</v>
      </c>
    </row>
    <row r="31" spans="1:19" x14ac:dyDescent="0.2">
      <c r="A31" s="195"/>
      <c r="B31" s="195"/>
      <c r="C31" s="195"/>
      <c r="D31" s="121"/>
      <c r="E31" s="191"/>
      <c r="F31" s="121"/>
      <c r="G31" s="121"/>
      <c r="H31" s="121"/>
      <c r="J31" s="195" t="s">
        <v>479</v>
      </c>
      <c r="K31" s="195" t="s">
        <v>26</v>
      </c>
      <c r="L31" s="195" t="s">
        <v>440</v>
      </c>
      <c r="M31" s="121" t="s">
        <v>393</v>
      </c>
      <c r="N31" s="196">
        <v>0</v>
      </c>
      <c r="O31" s="200">
        <v>0</v>
      </c>
      <c r="P31" s="200">
        <v>0</v>
      </c>
      <c r="Q31" s="200">
        <v>0</v>
      </c>
      <c r="S31" s="44" t="s">
        <v>411</v>
      </c>
    </row>
    <row r="32" spans="1:19" x14ac:dyDescent="0.2">
      <c r="A32" s="195"/>
      <c r="B32" s="195"/>
      <c r="C32" s="195"/>
      <c r="D32" s="201"/>
      <c r="E32" s="202"/>
      <c r="F32" s="201"/>
      <c r="G32" s="201"/>
      <c r="H32" s="201"/>
      <c r="J32" s="195" t="s">
        <v>479</v>
      </c>
      <c r="K32" s="195" t="s">
        <v>26</v>
      </c>
      <c r="L32" s="195" t="s">
        <v>440</v>
      </c>
      <c r="M32" s="201" t="s">
        <v>394</v>
      </c>
      <c r="N32" s="203">
        <v>29415625.760000002</v>
      </c>
      <c r="O32" s="204">
        <v>1764</v>
      </c>
      <c r="P32" s="204">
        <v>1416</v>
      </c>
      <c r="Q32" s="204">
        <v>1316</v>
      </c>
      <c r="S32" s="185" t="s">
        <v>412</v>
      </c>
    </row>
    <row r="33" spans="1:19" x14ac:dyDescent="0.2">
      <c r="A33" s="195"/>
      <c r="B33" s="195"/>
      <c r="C33" s="195"/>
      <c r="D33" s="121"/>
      <c r="E33" s="191"/>
      <c r="F33" s="121"/>
      <c r="G33" s="121"/>
      <c r="H33" s="121"/>
      <c r="J33" s="195" t="s">
        <v>479</v>
      </c>
      <c r="K33" s="195" t="s">
        <v>26</v>
      </c>
      <c r="L33" s="195" t="s">
        <v>440</v>
      </c>
      <c r="M33" s="121" t="s">
        <v>49</v>
      </c>
      <c r="N33" s="196">
        <v>480</v>
      </c>
      <c r="O33" s="200">
        <v>0</v>
      </c>
      <c r="P33" s="200">
        <v>0</v>
      </c>
      <c r="Q33" s="200">
        <v>0</v>
      </c>
      <c r="S33" s="44" t="s">
        <v>413</v>
      </c>
    </row>
    <row r="34" spans="1:19" x14ac:dyDescent="0.2">
      <c r="A34" s="195"/>
      <c r="B34" s="195"/>
      <c r="C34" s="195"/>
      <c r="D34" s="121"/>
      <c r="E34" s="191"/>
      <c r="F34" s="121"/>
      <c r="G34" s="121"/>
      <c r="H34" s="121"/>
      <c r="J34" s="195" t="s">
        <v>479</v>
      </c>
      <c r="K34" s="195" t="s">
        <v>26</v>
      </c>
      <c r="L34" s="195" t="s">
        <v>440</v>
      </c>
      <c r="M34" s="121" t="s">
        <v>50</v>
      </c>
      <c r="N34" s="196">
        <v>100</v>
      </c>
      <c r="O34" s="200">
        <v>0</v>
      </c>
      <c r="P34" s="200">
        <v>0</v>
      </c>
      <c r="Q34" s="200">
        <v>0</v>
      </c>
      <c r="S34" s="44" t="s">
        <v>414</v>
      </c>
    </row>
    <row r="35" spans="1:19" x14ac:dyDescent="0.2">
      <c r="D35" s="188" t="s">
        <v>89</v>
      </c>
      <c r="E35" s="192">
        <f>SUM(E3:E6,E21,E23)</f>
        <v>0</v>
      </c>
      <c r="F35" s="186">
        <f>SUM(F3:F6,F21,F23)</f>
        <v>0</v>
      </c>
      <c r="G35" s="186">
        <f>SUM(G3:G6,G21,G23)</f>
        <v>0</v>
      </c>
      <c r="H35" s="186">
        <f>SUM(H3:H6,H21,H23)</f>
        <v>0</v>
      </c>
      <c r="M35" s="188" t="s">
        <v>89</v>
      </c>
      <c r="N35" s="192">
        <f>SUM(N3:N6,N21,N23)</f>
        <v>13612546.759999998</v>
      </c>
      <c r="O35" s="186">
        <f>SUM(O3:O6,O21,O23)</f>
        <v>788</v>
      </c>
      <c r="P35" s="186">
        <f>SUM(P3:P6,P21,P23)</f>
        <v>632</v>
      </c>
      <c r="Q35" s="186">
        <f>SUM(Q3:Q6,Q21,Q23)</f>
        <v>599</v>
      </c>
    </row>
    <row r="36" spans="1:19" x14ac:dyDescent="0.2">
      <c r="D36" s="45" t="s">
        <v>99</v>
      </c>
      <c r="E36" s="94">
        <f>E3+E4+E5+E6+E21+E23</f>
        <v>0</v>
      </c>
      <c r="F36" s="121">
        <f>F3+F4+F5+F6+F21+F23</f>
        <v>0</v>
      </c>
      <c r="G36" s="121">
        <f>G3+G4+G5+G6+G21+G23</f>
        <v>0</v>
      </c>
      <c r="H36" s="121">
        <f>H3+H4+H5+H6+H21+H23</f>
        <v>0</v>
      </c>
      <c r="M36" s="45" t="s">
        <v>99</v>
      </c>
      <c r="N36" s="94">
        <f>N3+N4+N5+N6+N21+N23</f>
        <v>13612546.759999998</v>
      </c>
      <c r="O36" s="121">
        <f>O3+O4+O5+O6+O21+O23</f>
        <v>788</v>
      </c>
      <c r="P36" s="121">
        <f>P3+P4+P5+P6+P21+P23</f>
        <v>632</v>
      </c>
      <c r="Q36" s="121">
        <f>Q3+Q4+Q5+Q6+Q21+Q23</f>
        <v>599</v>
      </c>
    </row>
    <row r="37" spans="1:19" x14ac:dyDescent="0.2">
      <c r="D37" s="188" t="s">
        <v>272</v>
      </c>
      <c r="E37" s="192">
        <f>SUM(E3:E6,E15,E21,E23)</f>
        <v>0</v>
      </c>
      <c r="F37" s="186">
        <f>SUM(F3:F6,F15,F21,F23)</f>
        <v>0</v>
      </c>
      <c r="G37" s="186">
        <f>SUM(G3:G6,G15,G21,G23)</f>
        <v>0</v>
      </c>
      <c r="H37" s="186">
        <f>SUM(H3:H6,H15,H21,H23)</f>
        <v>0</v>
      </c>
      <c r="M37" s="188" t="s">
        <v>272</v>
      </c>
      <c r="N37" s="192">
        <f>SUM(N3:N6,N15,N21,N23)</f>
        <v>14548546.759999998</v>
      </c>
      <c r="O37" s="186">
        <f>SUM(O3:O6,O15,O21,O23)</f>
        <v>860</v>
      </c>
      <c r="P37" s="186">
        <f>SUM(P3:P6,P15,P21,P23)</f>
        <v>691</v>
      </c>
      <c r="Q37" s="186">
        <f>SUM(Q3:Q6,Q15,Q21,Q23)</f>
        <v>652</v>
      </c>
    </row>
    <row r="38" spans="1:19" x14ac:dyDescent="0.2">
      <c r="D38" s="45" t="s">
        <v>99</v>
      </c>
      <c r="E38" s="94">
        <f>E3+E4+E5+E6+E15+E21+E23</f>
        <v>0</v>
      </c>
      <c r="F38" s="121">
        <f>F3+F4+F5+F6+F15+F21+F23</f>
        <v>0</v>
      </c>
      <c r="G38" s="121">
        <f>G3+G4+G5+G6+G15+G21+G23</f>
        <v>0</v>
      </c>
      <c r="H38" s="121">
        <f>H3+H4+H5+H6+H15+H21+H23</f>
        <v>0</v>
      </c>
      <c r="M38" s="45" t="s">
        <v>99</v>
      </c>
      <c r="N38" s="94">
        <f>N3+N4+N5+N6+N15+N21+N23</f>
        <v>14548546.759999998</v>
      </c>
      <c r="O38" s="121">
        <f>O3+O4+O5+O6+O15+O21+O23</f>
        <v>860</v>
      </c>
      <c r="P38" s="121">
        <f>P3+P4+P5+P6+P15+P21+P23</f>
        <v>691</v>
      </c>
      <c r="Q38" s="121">
        <f>Q3+Q4+Q5+Q6+Q15+Q21+Q23</f>
        <v>652</v>
      </c>
    </row>
    <row r="39" spans="1:19" x14ac:dyDescent="0.2">
      <c r="D39" s="44"/>
      <c r="F39" s="45"/>
      <c r="G39" s="192" t="e">
        <f>SUM(H32)/G32*100</f>
        <v>#DIV/0!</v>
      </c>
      <c r="H39" s="193" t="e">
        <f>SUM(E32)/H32</f>
        <v>#DIV/0!</v>
      </c>
      <c r="P39" s="192">
        <f>SUM(Q32)/P32*100</f>
        <v>92.937853107344637</v>
      </c>
      <c r="Q39" s="193">
        <f>SUM(N32)/Q32</f>
        <v>22352.299209726443</v>
      </c>
    </row>
    <row r="40" spans="1:19" x14ac:dyDescent="0.2">
      <c r="D40" s="44"/>
      <c r="E40" s="196">
        <f>SUM(E3:E21,E23,E25:E31)</f>
        <v>0</v>
      </c>
      <c r="F40" s="200">
        <f>SUM(F3:F21,F23,F25:F31)</f>
        <v>0</v>
      </c>
      <c r="G40" s="200">
        <f>SUM(G3:G21,G23,G25:G31)</f>
        <v>0</v>
      </c>
      <c r="H40" s="200">
        <f>SUM(H3:H21,H23,H25:H31)</f>
        <v>0</v>
      </c>
      <c r="N40" s="196">
        <f>SUM(N3:N21,N23,N25:N31)</f>
        <v>14707812.879999999</v>
      </c>
      <c r="O40" s="200">
        <f>SUM(O3:O21,O23,O25:O31)</f>
        <v>882</v>
      </c>
      <c r="P40" s="200">
        <f>SUM(P3:P21,P23,P25:P31)</f>
        <v>708</v>
      </c>
      <c r="Q40" s="200">
        <f>SUM(Q3:Q21,Q23,Q25:Q31)</f>
        <v>658</v>
      </c>
    </row>
    <row r="41" spans="1:19" x14ac:dyDescent="0.2">
      <c r="D41" s="44"/>
      <c r="E41" s="191">
        <f>SUM(E2:E31)</f>
        <v>0</v>
      </c>
      <c r="F41" s="121">
        <f>SUM(F2:F31)</f>
        <v>0</v>
      </c>
      <c r="G41" s="121">
        <f>SUM(G2:G31)</f>
        <v>0</v>
      </c>
      <c r="H41" s="121">
        <f>SUM(H2:H31)</f>
        <v>0</v>
      </c>
      <c r="N41" s="191">
        <f>SUM(N2:N31)</f>
        <v>29415625.760000005</v>
      </c>
      <c r="O41" s="121">
        <f>SUM(O2:O31)</f>
        <v>1764</v>
      </c>
      <c r="P41" s="121">
        <f>SUM(P2:P31)</f>
        <v>1416</v>
      </c>
      <c r="Q41" s="121">
        <f>SUM(Q2:Q31)</f>
        <v>1316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Arkusz28">
    <tabColor theme="0"/>
  </sheetPr>
  <dimension ref="A1:S41"/>
  <sheetViews>
    <sheetView zoomScale="80" zoomScaleNormal="80" workbookViewId="0">
      <selection activeCell="J2" sqref="J2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195" t="s">
        <v>22</v>
      </c>
      <c r="B1" s="195" t="s">
        <v>23</v>
      </c>
      <c r="C1" s="195" t="s">
        <v>24</v>
      </c>
      <c r="D1" s="121" t="s">
        <v>25</v>
      </c>
      <c r="E1" s="193" t="s">
        <v>387</v>
      </c>
      <c r="F1" s="191" t="s">
        <v>388</v>
      </c>
      <c r="G1" s="191" t="s">
        <v>389</v>
      </c>
      <c r="H1" s="191" t="s">
        <v>390</v>
      </c>
      <c r="J1" s="195" t="s">
        <v>22</v>
      </c>
      <c r="K1" s="195" t="s">
        <v>23</v>
      </c>
      <c r="L1" s="195" t="s">
        <v>24</v>
      </c>
      <c r="M1" s="121" t="s">
        <v>25</v>
      </c>
      <c r="N1" s="193" t="s">
        <v>387</v>
      </c>
      <c r="O1" s="191" t="s">
        <v>388</v>
      </c>
      <c r="P1" s="191" t="s">
        <v>389</v>
      </c>
      <c r="Q1" s="191" t="s">
        <v>390</v>
      </c>
    </row>
    <row r="2" spans="1:19" ht="15" customHeight="1" x14ac:dyDescent="0.2">
      <c r="A2" s="195"/>
      <c r="B2" s="195"/>
      <c r="C2" s="195"/>
      <c r="D2" s="121"/>
      <c r="E2" s="191"/>
      <c r="F2" s="121"/>
      <c r="G2" s="121"/>
      <c r="H2" s="121"/>
      <c r="J2" s="195" t="s">
        <v>479</v>
      </c>
      <c r="K2" s="195" t="s">
        <v>26</v>
      </c>
      <c r="L2" s="195" t="s">
        <v>439</v>
      </c>
      <c r="M2" s="121" t="s">
        <v>27</v>
      </c>
      <c r="N2" s="196">
        <v>8301396.0199999996</v>
      </c>
      <c r="O2" s="200">
        <v>680</v>
      </c>
      <c r="P2" s="200">
        <v>538</v>
      </c>
      <c r="Q2" s="200">
        <v>462</v>
      </c>
      <c r="S2" s="44" t="s">
        <v>395</v>
      </c>
    </row>
    <row r="3" spans="1:19" x14ac:dyDescent="0.2">
      <c r="A3" s="195"/>
      <c r="B3" s="195"/>
      <c r="C3" s="195"/>
      <c r="D3" s="121"/>
      <c r="E3" s="191"/>
      <c r="F3" s="121"/>
      <c r="G3" s="121"/>
      <c r="H3" s="121"/>
      <c r="I3" s="186">
        <v>1</v>
      </c>
      <c r="J3" s="195" t="s">
        <v>479</v>
      </c>
      <c r="K3" s="195" t="s">
        <v>26</v>
      </c>
      <c r="L3" s="195" t="s">
        <v>439</v>
      </c>
      <c r="M3" s="121" t="s">
        <v>28</v>
      </c>
      <c r="N3" s="197">
        <v>2690213.35</v>
      </c>
      <c r="O3" s="198">
        <v>255</v>
      </c>
      <c r="P3" s="198">
        <v>160</v>
      </c>
      <c r="Q3" s="198">
        <v>108</v>
      </c>
      <c r="R3" s="186">
        <v>1</v>
      </c>
      <c r="S3" s="187" t="s">
        <v>396</v>
      </c>
    </row>
    <row r="4" spans="1:19" x14ac:dyDescent="0.2">
      <c r="A4" s="195"/>
      <c r="B4" s="195"/>
      <c r="C4" s="195"/>
      <c r="D4" s="121"/>
      <c r="E4" s="191"/>
      <c r="F4" s="121"/>
      <c r="G4" s="121"/>
      <c r="H4" s="121"/>
      <c r="I4" s="186">
        <v>2</v>
      </c>
      <c r="J4" s="195" t="s">
        <v>479</v>
      </c>
      <c r="K4" s="195" t="s">
        <v>26</v>
      </c>
      <c r="L4" s="195" t="s">
        <v>439</v>
      </c>
      <c r="M4" s="121" t="s">
        <v>29</v>
      </c>
      <c r="N4" s="197">
        <v>87040.56</v>
      </c>
      <c r="O4" s="198">
        <v>18</v>
      </c>
      <c r="P4" s="198">
        <v>18</v>
      </c>
      <c r="Q4" s="198">
        <v>12</v>
      </c>
      <c r="R4" s="186">
        <v>2</v>
      </c>
      <c r="S4" s="187" t="s">
        <v>397</v>
      </c>
    </row>
    <row r="5" spans="1:19" x14ac:dyDescent="0.2">
      <c r="A5" s="195"/>
      <c r="B5" s="195"/>
      <c r="C5" s="195"/>
      <c r="D5" s="121"/>
      <c r="E5" s="191"/>
      <c r="F5" s="121"/>
      <c r="G5" s="121"/>
      <c r="H5" s="121"/>
      <c r="I5" s="186">
        <v>3</v>
      </c>
      <c r="J5" s="195" t="s">
        <v>479</v>
      </c>
      <c r="K5" s="195" t="s">
        <v>26</v>
      </c>
      <c r="L5" s="195" t="s">
        <v>439</v>
      </c>
      <c r="M5" s="121" t="s">
        <v>30</v>
      </c>
      <c r="N5" s="197">
        <v>1776033.82</v>
      </c>
      <c r="O5" s="198">
        <v>241</v>
      </c>
      <c r="P5" s="198">
        <v>189</v>
      </c>
      <c r="Q5" s="198">
        <v>184</v>
      </c>
      <c r="R5" s="186">
        <v>3</v>
      </c>
      <c r="S5" s="187" t="s">
        <v>399</v>
      </c>
    </row>
    <row r="6" spans="1:19" x14ac:dyDescent="0.2">
      <c r="A6" s="195"/>
      <c r="B6" s="195"/>
      <c r="C6" s="195"/>
      <c r="D6" s="121"/>
      <c r="E6" s="191"/>
      <c r="F6" s="121"/>
      <c r="G6" s="121"/>
      <c r="H6" s="121"/>
      <c r="I6" s="186">
        <v>4</v>
      </c>
      <c r="J6" s="195" t="s">
        <v>479</v>
      </c>
      <c r="K6" s="195" t="s">
        <v>26</v>
      </c>
      <c r="L6" s="195" t="s">
        <v>439</v>
      </c>
      <c r="M6" s="121" t="s">
        <v>31</v>
      </c>
      <c r="N6" s="197">
        <v>46627.17</v>
      </c>
      <c r="O6" s="198">
        <v>4</v>
      </c>
      <c r="P6" s="198">
        <v>4</v>
      </c>
      <c r="Q6" s="198">
        <v>4</v>
      </c>
      <c r="R6" s="186">
        <v>4</v>
      </c>
      <c r="S6" s="187" t="s">
        <v>398</v>
      </c>
    </row>
    <row r="7" spans="1:19" x14ac:dyDescent="0.2">
      <c r="A7" s="195"/>
      <c r="B7" s="195"/>
      <c r="C7" s="195"/>
      <c r="D7" s="121"/>
      <c r="E7" s="191"/>
      <c r="F7" s="121"/>
      <c r="G7" s="121"/>
      <c r="H7" s="121"/>
      <c r="I7" s="189" t="s">
        <v>417</v>
      </c>
      <c r="J7" s="195" t="s">
        <v>479</v>
      </c>
      <c r="K7" s="195" t="s">
        <v>26</v>
      </c>
      <c r="L7" s="195" t="s">
        <v>439</v>
      </c>
      <c r="M7" s="121" t="s">
        <v>32</v>
      </c>
      <c r="N7" s="199">
        <v>15330.36</v>
      </c>
      <c r="O7" s="198">
        <v>11</v>
      </c>
      <c r="P7" s="198">
        <v>10</v>
      </c>
      <c r="Q7" s="198">
        <v>1</v>
      </c>
      <c r="R7" s="189" t="s">
        <v>417</v>
      </c>
      <c r="S7" s="187" t="s">
        <v>400</v>
      </c>
    </row>
    <row r="8" spans="1:19" x14ac:dyDescent="0.2">
      <c r="A8" s="195"/>
      <c r="B8" s="195"/>
      <c r="C8" s="195"/>
      <c r="D8" s="121"/>
      <c r="E8" s="191"/>
      <c r="F8" s="121"/>
      <c r="G8" s="121"/>
      <c r="H8" s="121"/>
      <c r="I8" s="121"/>
      <c r="J8" s="195" t="s">
        <v>479</v>
      </c>
      <c r="K8" s="195" t="s">
        <v>26</v>
      </c>
      <c r="L8" s="195" t="s">
        <v>439</v>
      </c>
      <c r="M8" s="121" t="s">
        <v>33</v>
      </c>
      <c r="N8" s="196">
        <v>0</v>
      </c>
      <c r="O8" s="200">
        <v>0</v>
      </c>
      <c r="P8" s="200">
        <v>0</v>
      </c>
      <c r="Q8" s="200">
        <v>0</v>
      </c>
      <c r="R8" s="121"/>
      <c r="S8" s="44" t="s">
        <v>401</v>
      </c>
    </row>
    <row r="9" spans="1:19" x14ac:dyDescent="0.2">
      <c r="A9" s="195"/>
      <c r="B9" s="195"/>
      <c r="C9" s="195"/>
      <c r="D9" s="121"/>
      <c r="E9" s="191"/>
      <c r="F9" s="121"/>
      <c r="G9" s="121"/>
      <c r="H9" s="121"/>
      <c r="I9" s="121"/>
      <c r="J9" s="195" t="s">
        <v>479</v>
      </c>
      <c r="K9" s="195" t="s">
        <v>26</v>
      </c>
      <c r="L9" s="195" t="s">
        <v>439</v>
      </c>
      <c r="M9" s="121" t="s">
        <v>34</v>
      </c>
      <c r="N9" s="196">
        <v>0</v>
      </c>
      <c r="O9" s="200">
        <v>0</v>
      </c>
      <c r="P9" s="200">
        <v>0</v>
      </c>
      <c r="Q9" s="200">
        <v>0</v>
      </c>
      <c r="R9" s="121"/>
      <c r="S9" s="44" t="s">
        <v>6</v>
      </c>
    </row>
    <row r="10" spans="1:19" ht="15" customHeight="1" x14ac:dyDescent="0.2">
      <c r="A10" s="195"/>
      <c r="B10" s="195"/>
      <c r="C10" s="195"/>
      <c r="D10" s="121"/>
      <c r="E10" s="191"/>
      <c r="F10" s="121"/>
      <c r="G10" s="121"/>
      <c r="H10" s="121"/>
      <c r="I10" s="121"/>
      <c r="J10" s="195" t="s">
        <v>479</v>
      </c>
      <c r="K10" s="195" t="s">
        <v>26</v>
      </c>
      <c r="L10" s="195" t="s">
        <v>439</v>
      </c>
      <c r="M10" s="121" t="s">
        <v>35</v>
      </c>
      <c r="N10" s="196">
        <v>0</v>
      </c>
      <c r="O10" s="200">
        <v>0</v>
      </c>
      <c r="P10" s="200">
        <v>0</v>
      </c>
      <c r="Q10" s="200">
        <v>0</v>
      </c>
      <c r="R10" s="121"/>
      <c r="S10" s="44" t="s">
        <v>402</v>
      </c>
    </row>
    <row r="11" spans="1:19" ht="15" customHeight="1" x14ac:dyDescent="0.2">
      <c r="A11" s="195"/>
      <c r="B11" s="195"/>
      <c r="C11" s="195"/>
      <c r="D11" s="121"/>
      <c r="E11" s="191"/>
      <c r="F11" s="121"/>
      <c r="G11" s="121"/>
      <c r="H11" s="121"/>
      <c r="I11" s="121"/>
      <c r="J11" s="195" t="s">
        <v>479</v>
      </c>
      <c r="K11" s="195" t="s">
        <v>26</v>
      </c>
      <c r="L11" s="195" t="s">
        <v>439</v>
      </c>
      <c r="M11" s="121" t="s">
        <v>36</v>
      </c>
      <c r="N11" s="196">
        <v>0</v>
      </c>
      <c r="O11" s="200">
        <v>0</v>
      </c>
      <c r="P11" s="200">
        <v>0</v>
      </c>
      <c r="Q11" s="200">
        <v>0</v>
      </c>
      <c r="R11" s="121"/>
      <c r="S11" s="44" t="s">
        <v>8</v>
      </c>
    </row>
    <row r="12" spans="1:19" x14ac:dyDescent="0.2">
      <c r="A12" s="195"/>
      <c r="B12" s="195"/>
      <c r="C12" s="195"/>
      <c r="D12" s="121"/>
      <c r="E12" s="191"/>
      <c r="F12" s="121"/>
      <c r="G12" s="121"/>
      <c r="H12" s="121"/>
      <c r="I12" s="121"/>
      <c r="J12" s="195" t="s">
        <v>479</v>
      </c>
      <c r="K12" s="195" t="s">
        <v>26</v>
      </c>
      <c r="L12" s="195" t="s">
        <v>439</v>
      </c>
      <c r="M12" s="121" t="s">
        <v>37</v>
      </c>
      <c r="N12" s="196">
        <v>0</v>
      </c>
      <c r="O12" s="200">
        <v>0</v>
      </c>
      <c r="P12" s="200">
        <v>0</v>
      </c>
      <c r="Q12" s="200">
        <v>0</v>
      </c>
      <c r="R12" s="121"/>
      <c r="S12" s="44" t="s">
        <v>403</v>
      </c>
    </row>
    <row r="13" spans="1:19" x14ac:dyDescent="0.2">
      <c r="A13" s="195"/>
      <c r="B13" s="195"/>
      <c r="C13" s="195"/>
      <c r="D13" s="121"/>
      <c r="E13" s="191"/>
      <c r="F13" s="121"/>
      <c r="G13" s="121"/>
      <c r="H13" s="121"/>
      <c r="I13" s="189" t="s">
        <v>419</v>
      </c>
      <c r="J13" s="195" t="s">
        <v>479</v>
      </c>
      <c r="K13" s="195" t="s">
        <v>26</v>
      </c>
      <c r="L13" s="195" t="s">
        <v>439</v>
      </c>
      <c r="M13" s="121" t="s">
        <v>26</v>
      </c>
      <c r="N13" s="199">
        <v>21760.23</v>
      </c>
      <c r="O13" s="198">
        <v>6</v>
      </c>
      <c r="P13" s="198">
        <v>2</v>
      </c>
      <c r="Q13" s="198">
        <v>0</v>
      </c>
      <c r="R13" s="189" t="s">
        <v>419</v>
      </c>
      <c r="S13" s="187" t="s">
        <v>9</v>
      </c>
    </row>
    <row r="14" spans="1:19" ht="15" customHeight="1" x14ac:dyDescent="0.2">
      <c r="A14" s="195"/>
      <c r="B14" s="195"/>
      <c r="C14" s="195"/>
      <c r="D14" s="121"/>
      <c r="E14" s="191"/>
      <c r="F14" s="121"/>
      <c r="G14" s="121"/>
      <c r="H14" s="121"/>
      <c r="I14" s="121"/>
      <c r="J14" s="195" t="s">
        <v>479</v>
      </c>
      <c r="K14" s="195" t="s">
        <v>26</v>
      </c>
      <c r="L14" s="195" t="s">
        <v>439</v>
      </c>
      <c r="M14" s="121" t="s">
        <v>38</v>
      </c>
      <c r="N14" s="196">
        <v>0</v>
      </c>
      <c r="O14" s="200">
        <v>0</v>
      </c>
      <c r="P14" s="200">
        <v>0</v>
      </c>
      <c r="Q14" s="200">
        <v>0</v>
      </c>
      <c r="R14" s="121"/>
      <c r="S14" s="44" t="s">
        <v>404</v>
      </c>
    </row>
    <row r="15" spans="1:19" ht="15" customHeight="1" x14ac:dyDescent="0.2">
      <c r="A15" s="195"/>
      <c r="B15" s="195"/>
      <c r="C15" s="195"/>
      <c r="D15" s="121"/>
      <c r="E15" s="191"/>
      <c r="F15" s="121"/>
      <c r="G15" s="121"/>
      <c r="H15" s="121"/>
      <c r="I15" s="189" t="s">
        <v>51</v>
      </c>
      <c r="J15" s="195" t="s">
        <v>479</v>
      </c>
      <c r="K15" s="195" t="s">
        <v>26</v>
      </c>
      <c r="L15" s="195" t="s">
        <v>439</v>
      </c>
      <c r="M15" s="121" t="s">
        <v>39</v>
      </c>
      <c r="N15" s="199">
        <v>240000</v>
      </c>
      <c r="O15" s="198">
        <v>24</v>
      </c>
      <c r="P15" s="198">
        <v>31</v>
      </c>
      <c r="Q15" s="198">
        <v>29</v>
      </c>
      <c r="R15" s="189" t="s">
        <v>51</v>
      </c>
      <c r="S15" s="187" t="s">
        <v>11</v>
      </c>
    </row>
    <row r="16" spans="1:19" x14ac:dyDescent="0.2">
      <c r="A16" s="195"/>
      <c r="B16" s="195"/>
      <c r="C16" s="195"/>
      <c r="D16" s="121"/>
      <c r="E16" s="191"/>
      <c r="F16" s="121"/>
      <c r="G16" s="121"/>
      <c r="H16" s="121"/>
      <c r="I16" s="189" t="s">
        <v>418</v>
      </c>
      <c r="J16" s="195" t="s">
        <v>479</v>
      </c>
      <c r="K16" s="195" t="s">
        <v>26</v>
      </c>
      <c r="L16" s="195" t="s">
        <v>439</v>
      </c>
      <c r="M16" s="121" t="s">
        <v>40</v>
      </c>
      <c r="N16" s="199">
        <v>0</v>
      </c>
      <c r="O16" s="198">
        <v>0</v>
      </c>
      <c r="P16" s="198">
        <v>0</v>
      </c>
      <c r="Q16" s="198">
        <v>0</v>
      </c>
      <c r="R16" s="189" t="s">
        <v>418</v>
      </c>
      <c r="S16" s="187" t="s">
        <v>405</v>
      </c>
    </row>
    <row r="17" spans="1:19" x14ac:dyDescent="0.2">
      <c r="A17" s="195"/>
      <c r="B17" s="195"/>
      <c r="C17" s="195"/>
      <c r="D17" s="121"/>
      <c r="E17" s="191"/>
      <c r="F17" s="121"/>
      <c r="G17" s="121"/>
      <c r="H17" s="121"/>
      <c r="I17" s="121"/>
      <c r="J17" s="195" t="s">
        <v>479</v>
      </c>
      <c r="K17" s="195" t="s">
        <v>26</v>
      </c>
      <c r="L17" s="195" t="s">
        <v>439</v>
      </c>
      <c r="M17" s="121" t="s">
        <v>41</v>
      </c>
      <c r="N17" s="196">
        <v>0</v>
      </c>
      <c r="O17" s="200">
        <v>0</v>
      </c>
      <c r="P17" s="200">
        <v>0</v>
      </c>
      <c r="Q17" s="200">
        <v>0</v>
      </c>
      <c r="R17" s="121"/>
      <c r="S17" s="44" t="s">
        <v>406</v>
      </c>
    </row>
    <row r="18" spans="1:19" ht="15" customHeight="1" x14ac:dyDescent="0.2">
      <c r="A18" s="195"/>
      <c r="B18" s="195"/>
      <c r="C18" s="195"/>
      <c r="D18" s="121"/>
      <c r="E18" s="191"/>
      <c r="F18" s="121"/>
      <c r="G18" s="121"/>
      <c r="H18" s="121"/>
      <c r="I18" s="189" t="s">
        <v>420</v>
      </c>
      <c r="J18" s="195" t="s">
        <v>479</v>
      </c>
      <c r="K18" s="195" t="s">
        <v>26</v>
      </c>
      <c r="L18" s="195" t="s">
        <v>439</v>
      </c>
      <c r="M18" s="121" t="s">
        <v>42</v>
      </c>
      <c r="N18" s="199">
        <v>0</v>
      </c>
      <c r="O18" s="198">
        <v>0</v>
      </c>
      <c r="P18" s="198">
        <v>0</v>
      </c>
      <c r="Q18" s="198">
        <v>0</v>
      </c>
      <c r="R18" s="189" t="s">
        <v>420</v>
      </c>
      <c r="S18" s="187" t="s">
        <v>376</v>
      </c>
    </row>
    <row r="19" spans="1:19" ht="15" customHeight="1" x14ac:dyDescent="0.2">
      <c r="A19" s="195"/>
      <c r="B19" s="195"/>
      <c r="C19" s="195"/>
      <c r="D19" s="121"/>
      <c r="E19" s="191"/>
      <c r="F19" s="121"/>
      <c r="G19" s="121"/>
      <c r="H19" s="121"/>
      <c r="I19" s="189" t="s">
        <v>416</v>
      </c>
      <c r="J19" s="195" t="s">
        <v>479</v>
      </c>
      <c r="K19" s="195" t="s">
        <v>26</v>
      </c>
      <c r="L19" s="195" t="s">
        <v>439</v>
      </c>
      <c r="M19" s="121" t="s">
        <v>43</v>
      </c>
      <c r="N19" s="199">
        <v>26472.42</v>
      </c>
      <c r="O19" s="198">
        <v>2</v>
      </c>
      <c r="P19" s="198">
        <v>0</v>
      </c>
      <c r="Q19" s="198">
        <v>0</v>
      </c>
      <c r="R19" s="189" t="s">
        <v>416</v>
      </c>
      <c r="S19" s="187" t="s">
        <v>377</v>
      </c>
    </row>
    <row r="20" spans="1:19" x14ac:dyDescent="0.2">
      <c r="A20" s="195"/>
      <c r="B20" s="195"/>
      <c r="C20" s="195"/>
      <c r="D20" s="121"/>
      <c r="E20" s="191"/>
      <c r="F20" s="121"/>
      <c r="G20" s="121"/>
      <c r="H20" s="121"/>
      <c r="I20" s="121"/>
      <c r="J20" s="195" t="s">
        <v>479</v>
      </c>
      <c r="K20" s="195" t="s">
        <v>26</v>
      </c>
      <c r="L20" s="195" t="s">
        <v>439</v>
      </c>
      <c r="M20" s="121" t="s">
        <v>44</v>
      </c>
      <c r="N20" s="196">
        <v>0</v>
      </c>
      <c r="O20" s="200">
        <v>0</v>
      </c>
      <c r="P20" s="200">
        <v>0</v>
      </c>
      <c r="Q20" s="200">
        <v>0</v>
      </c>
      <c r="R20" s="121"/>
      <c r="S20" s="44" t="s">
        <v>15</v>
      </c>
    </row>
    <row r="21" spans="1:19" x14ac:dyDescent="0.2">
      <c r="A21" s="195"/>
      <c r="B21" s="195"/>
      <c r="C21" s="195"/>
      <c r="D21" s="121"/>
      <c r="E21" s="191"/>
      <c r="F21" s="121"/>
      <c r="G21" s="121"/>
      <c r="H21" s="121"/>
      <c r="I21" s="186">
        <v>6</v>
      </c>
      <c r="J21" s="195" t="s">
        <v>479</v>
      </c>
      <c r="K21" s="195" t="s">
        <v>26</v>
      </c>
      <c r="L21" s="195" t="s">
        <v>439</v>
      </c>
      <c r="M21" s="121" t="s">
        <v>45</v>
      </c>
      <c r="N21" s="197">
        <v>2068918.11</v>
      </c>
      <c r="O21" s="198">
        <v>75</v>
      </c>
      <c r="P21" s="198">
        <v>85</v>
      </c>
      <c r="Q21" s="198">
        <v>85</v>
      </c>
      <c r="R21" s="186">
        <v>6</v>
      </c>
      <c r="S21" s="187" t="s">
        <v>16</v>
      </c>
    </row>
    <row r="22" spans="1:19" x14ac:dyDescent="0.2">
      <c r="A22" s="195"/>
      <c r="B22" s="195"/>
      <c r="C22" s="195"/>
      <c r="D22" s="121"/>
      <c r="E22" s="191"/>
      <c r="F22" s="121"/>
      <c r="G22" s="121"/>
      <c r="H22" s="121"/>
      <c r="I22" s="121"/>
      <c r="J22" s="195" t="s">
        <v>479</v>
      </c>
      <c r="K22" s="195" t="s">
        <v>26</v>
      </c>
      <c r="L22" s="195" t="s">
        <v>439</v>
      </c>
      <c r="M22" s="121" t="s">
        <v>46</v>
      </c>
      <c r="N22" s="196">
        <v>0</v>
      </c>
      <c r="O22" s="200">
        <v>0</v>
      </c>
      <c r="P22" s="200">
        <v>0</v>
      </c>
      <c r="Q22" s="200">
        <v>0</v>
      </c>
      <c r="R22" s="121"/>
      <c r="S22" s="44" t="s">
        <v>407</v>
      </c>
    </row>
    <row r="23" spans="1:19" ht="15" customHeight="1" x14ac:dyDescent="0.2">
      <c r="A23" s="195"/>
      <c r="B23" s="195"/>
      <c r="C23" s="195"/>
      <c r="D23" s="121"/>
      <c r="E23" s="191"/>
      <c r="F23" s="121"/>
      <c r="G23" s="121"/>
      <c r="H23" s="121"/>
      <c r="I23" s="186">
        <v>5</v>
      </c>
      <c r="J23" s="195" t="s">
        <v>479</v>
      </c>
      <c r="K23" s="195" t="s">
        <v>26</v>
      </c>
      <c r="L23" s="195" t="s">
        <v>439</v>
      </c>
      <c r="M23" s="121" t="s">
        <v>47</v>
      </c>
      <c r="N23" s="197">
        <v>1329000</v>
      </c>
      <c r="O23" s="198">
        <v>44</v>
      </c>
      <c r="P23" s="198">
        <v>39</v>
      </c>
      <c r="Q23" s="198">
        <v>39</v>
      </c>
      <c r="R23" s="186">
        <v>5</v>
      </c>
      <c r="S23" s="187" t="s">
        <v>17</v>
      </c>
    </row>
    <row r="24" spans="1:19" ht="15" customHeight="1" x14ac:dyDescent="0.2">
      <c r="A24" s="195"/>
      <c r="B24" s="195"/>
      <c r="C24" s="195"/>
      <c r="D24" s="121"/>
      <c r="E24" s="191"/>
      <c r="F24" s="121"/>
      <c r="G24" s="121"/>
      <c r="H24" s="121"/>
      <c r="I24" s="45"/>
      <c r="J24" s="195" t="s">
        <v>479</v>
      </c>
      <c r="K24" s="195" t="s">
        <v>26</v>
      </c>
      <c r="L24" s="195" t="s">
        <v>439</v>
      </c>
      <c r="M24" s="121" t="s">
        <v>48</v>
      </c>
      <c r="N24" s="196">
        <v>0</v>
      </c>
      <c r="O24" s="200">
        <v>0</v>
      </c>
      <c r="P24" s="200">
        <v>0</v>
      </c>
      <c r="Q24" s="200">
        <v>0</v>
      </c>
      <c r="S24" s="44" t="s">
        <v>407</v>
      </c>
    </row>
    <row r="25" spans="1:19" ht="15" customHeight="1" x14ac:dyDescent="0.2">
      <c r="A25" s="195"/>
      <c r="B25" s="195"/>
      <c r="C25" s="195"/>
      <c r="D25" s="121"/>
      <c r="E25" s="191"/>
      <c r="F25" s="121"/>
      <c r="G25" s="121"/>
      <c r="H25" s="121"/>
      <c r="I25" s="45"/>
      <c r="J25" s="195" t="s">
        <v>479</v>
      </c>
      <c r="K25" s="195" t="s">
        <v>26</v>
      </c>
      <c r="L25" s="195" t="s">
        <v>439</v>
      </c>
      <c r="M25" s="121" t="s">
        <v>319</v>
      </c>
      <c r="N25" s="196">
        <v>0</v>
      </c>
      <c r="O25" s="200">
        <v>0</v>
      </c>
      <c r="P25" s="200">
        <v>0</v>
      </c>
      <c r="Q25" s="200">
        <v>0</v>
      </c>
      <c r="S25" s="44" t="s">
        <v>18</v>
      </c>
    </row>
    <row r="26" spans="1:19" ht="15" customHeight="1" x14ac:dyDescent="0.2">
      <c r="A26" s="195"/>
      <c r="B26" s="195"/>
      <c r="C26" s="195"/>
      <c r="D26" s="121"/>
      <c r="E26" s="191"/>
      <c r="F26" s="121"/>
      <c r="G26" s="121"/>
      <c r="H26" s="121"/>
      <c r="I26" s="190" t="s">
        <v>421</v>
      </c>
      <c r="J26" s="195" t="s">
        <v>479</v>
      </c>
      <c r="K26" s="195" t="s">
        <v>26</v>
      </c>
      <c r="L26" s="195" t="s">
        <v>439</v>
      </c>
      <c r="M26" s="121" t="s">
        <v>320</v>
      </c>
      <c r="N26" s="199">
        <v>0</v>
      </c>
      <c r="O26" s="198">
        <v>0</v>
      </c>
      <c r="P26" s="198">
        <v>0</v>
      </c>
      <c r="Q26" s="198">
        <v>0</v>
      </c>
      <c r="R26" s="190" t="s">
        <v>421</v>
      </c>
      <c r="S26" s="187" t="s">
        <v>358</v>
      </c>
    </row>
    <row r="27" spans="1:19" x14ac:dyDescent="0.2">
      <c r="A27" s="195"/>
      <c r="B27" s="195"/>
      <c r="C27" s="195"/>
      <c r="D27" s="121"/>
      <c r="E27" s="191"/>
      <c r="F27" s="121"/>
      <c r="G27" s="121"/>
      <c r="H27" s="121"/>
      <c r="I27" s="190" t="s">
        <v>415</v>
      </c>
      <c r="J27" s="195" t="s">
        <v>479</v>
      </c>
      <c r="K27" s="195" t="s">
        <v>26</v>
      </c>
      <c r="L27" s="195" t="s">
        <v>439</v>
      </c>
      <c r="M27" s="121" t="s">
        <v>321</v>
      </c>
      <c r="N27" s="199">
        <v>0</v>
      </c>
      <c r="O27" s="198">
        <v>0</v>
      </c>
      <c r="P27" s="198">
        <v>0</v>
      </c>
      <c r="Q27" s="198">
        <v>0</v>
      </c>
      <c r="R27" s="190" t="s">
        <v>415</v>
      </c>
      <c r="S27" s="187" t="s">
        <v>408</v>
      </c>
    </row>
    <row r="28" spans="1:19" x14ac:dyDescent="0.2">
      <c r="A28" s="195"/>
      <c r="B28" s="195"/>
      <c r="C28" s="195"/>
      <c r="D28" s="121"/>
      <c r="E28" s="191"/>
      <c r="F28" s="121"/>
      <c r="G28" s="121"/>
      <c r="H28" s="121"/>
      <c r="J28" s="195" t="s">
        <v>479</v>
      </c>
      <c r="K28" s="195" t="s">
        <v>26</v>
      </c>
      <c r="L28" s="195" t="s">
        <v>439</v>
      </c>
      <c r="M28" s="121" t="s">
        <v>322</v>
      </c>
      <c r="N28" s="196">
        <v>0</v>
      </c>
      <c r="O28" s="200">
        <v>0</v>
      </c>
      <c r="P28" s="200">
        <v>0</v>
      </c>
      <c r="Q28" s="200">
        <v>0</v>
      </c>
      <c r="S28" s="44" t="s">
        <v>215</v>
      </c>
    </row>
    <row r="29" spans="1:19" x14ac:dyDescent="0.2">
      <c r="A29" s="195"/>
      <c r="B29" s="195"/>
      <c r="C29" s="195"/>
      <c r="D29" s="121"/>
      <c r="E29" s="191"/>
      <c r="F29" s="121"/>
      <c r="G29" s="121"/>
      <c r="H29" s="121"/>
      <c r="J29" s="195" t="s">
        <v>479</v>
      </c>
      <c r="K29" s="195" t="s">
        <v>26</v>
      </c>
      <c r="L29" s="195" t="s">
        <v>439</v>
      </c>
      <c r="M29" s="121" t="s">
        <v>391</v>
      </c>
      <c r="N29" s="196">
        <v>0</v>
      </c>
      <c r="O29" s="200">
        <v>0</v>
      </c>
      <c r="P29" s="200">
        <v>0</v>
      </c>
      <c r="Q29" s="200">
        <v>0</v>
      </c>
      <c r="S29" s="44" t="s">
        <v>409</v>
      </c>
    </row>
    <row r="30" spans="1:19" ht="15" customHeight="1" x14ac:dyDescent="0.2">
      <c r="A30" s="195"/>
      <c r="B30" s="195"/>
      <c r="C30" s="195"/>
      <c r="D30" s="121"/>
      <c r="E30" s="191"/>
      <c r="F30" s="121"/>
      <c r="G30" s="121"/>
      <c r="H30" s="121"/>
      <c r="J30" s="195" t="s">
        <v>479</v>
      </c>
      <c r="K30" s="195" t="s">
        <v>26</v>
      </c>
      <c r="L30" s="195" t="s">
        <v>439</v>
      </c>
      <c r="M30" s="121" t="s">
        <v>392</v>
      </c>
      <c r="N30" s="196">
        <v>0</v>
      </c>
      <c r="O30" s="200">
        <v>0</v>
      </c>
      <c r="P30" s="200">
        <v>0</v>
      </c>
      <c r="Q30" s="200">
        <v>0</v>
      </c>
      <c r="S30" s="44" t="s">
        <v>410</v>
      </c>
    </row>
    <row r="31" spans="1:19" x14ac:dyDescent="0.2">
      <c r="A31" s="195"/>
      <c r="B31" s="195"/>
      <c r="C31" s="195"/>
      <c r="D31" s="121"/>
      <c r="E31" s="191"/>
      <c r="F31" s="121"/>
      <c r="G31" s="121"/>
      <c r="H31" s="121"/>
      <c r="J31" s="195" t="s">
        <v>479</v>
      </c>
      <c r="K31" s="195" t="s">
        <v>26</v>
      </c>
      <c r="L31" s="195" t="s">
        <v>439</v>
      </c>
      <c r="M31" s="121" t="s">
        <v>393</v>
      </c>
      <c r="N31" s="196">
        <v>0</v>
      </c>
      <c r="O31" s="200">
        <v>0</v>
      </c>
      <c r="P31" s="200">
        <v>0</v>
      </c>
      <c r="Q31" s="200">
        <v>0</v>
      </c>
      <c r="S31" s="44" t="s">
        <v>411</v>
      </c>
    </row>
    <row r="32" spans="1:19" x14ac:dyDescent="0.2">
      <c r="A32" s="195"/>
      <c r="B32" s="195"/>
      <c r="C32" s="195"/>
      <c r="D32" s="201"/>
      <c r="E32" s="202"/>
      <c r="F32" s="201"/>
      <c r="G32" s="201"/>
      <c r="H32" s="201"/>
      <c r="J32" s="195" t="s">
        <v>479</v>
      </c>
      <c r="K32" s="195" t="s">
        <v>26</v>
      </c>
      <c r="L32" s="195" t="s">
        <v>439</v>
      </c>
      <c r="M32" s="201" t="s">
        <v>394</v>
      </c>
      <c r="N32" s="203">
        <v>16602792.039999999</v>
      </c>
      <c r="O32" s="204">
        <v>1360</v>
      </c>
      <c r="P32" s="204">
        <v>1076</v>
      </c>
      <c r="Q32" s="204">
        <v>924</v>
      </c>
      <c r="S32" s="185" t="s">
        <v>412</v>
      </c>
    </row>
    <row r="33" spans="1:19" x14ac:dyDescent="0.2">
      <c r="A33" s="195"/>
      <c r="B33" s="195"/>
      <c r="C33" s="195"/>
      <c r="D33" s="121"/>
      <c r="E33" s="191"/>
      <c r="F33" s="121"/>
      <c r="G33" s="121"/>
      <c r="H33" s="121"/>
      <c r="J33" s="195" t="s">
        <v>479</v>
      </c>
      <c r="K33" s="195" t="s">
        <v>26</v>
      </c>
      <c r="L33" s="195" t="s">
        <v>439</v>
      </c>
      <c r="M33" s="121" t="s">
        <v>49</v>
      </c>
      <c r="N33" s="196">
        <v>120</v>
      </c>
      <c r="O33" s="200">
        <v>0</v>
      </c>
      <c r="P33" s="200">
        <v>0</v>
      </c>
      <c r="Q33" s="200">
        <v>0</v>
      </c>
      <c r="S33" s="44" t="s">
        <v>413</v>
      </c>
    </row>
    <row r="34" spans="1:19" x14ac:dyDescent="0.2">
      <c r="A34" s="195"/>
      <c r="B34" s="195"/>
      <c r="C34" s="195"/>
      <c r="D34" s="121"/>
      <c r="E34" s="191"/>
      <c r="F34" s="121"/>
      <c r="G34" s="121"/>
      <c r="H34" s="121"/>
      <c r="J34" s="195" t="s">
        <v>479</v>
      </c>
      <c r="K34" s="195" t="s">
        <v>26</v>
      </c>
      <c r="L34" s="195" t="s">
        <v>439</v>
      </c>
      <c r="M34" s="121" t="s">
        <v>50</v>
      </c>
      <c r="N34" s="196">
        <v>30</v>
      </c>
      <c r="O34" s="200">
        <v>0</v>
      </c>
      <c r="P34" s="200">
        <v>0</v>
      </c>
      <c r="Q34" s="200">
        <v>0</v>
      </c>
      <c r="S34" s="44" t="s">
        <v>414</v>
      </c>
    </row>
    <row r="35" spans="1:19" x14ac:dyDescent="0.2">
      <c r="D35" s="188" t="s">
        <v>89</v>
      </c>
      <c r="E35" s="192">
        <f>SUM(E3:E6,E21,E23)</f>
        <v>0</v>
      </c>
      <c r="F35" s="186">
        <f>SUM(F3:F6,F21,F23)</f>
        <v>0</v>
      </c>
      <c r="G35" s="186">
        <f>SUM(G3:G6,G21,G23)</f>
        <v>0</v>
      </c>
      <c r="H35" s="186">
        <f>SUM(H3:H6,H21,H23)</f>
        <v>0</v>
      </c>
      <c r="M35" s="188" t="s">
        <v>89</v>
      </c>
      <c r="N35" s="192">
        <f>SUM(N3:N6,N21,N23)</f>
        <v>7997833.0100000007</v>
      </c>
      <c r="O35" s="186">
        <f>SUM(O3:O6,O21,O23)</f>
        <v>637</v>
      </c>
      <c r="P35" s="186">
        <f>SUM(P3:P6,P21,P23)</f>
        <v>495</v>
      </c>
      <c r="Q35" s="186">
        <f>SUM(Q3:Q6,Q21,Q23)</f>
        <v>432</v>
      </c>
    </row>
    <row r="36" spans="1:19" x14ac:dyDescent="0.2">
      <c r="D36" s="45" t="s">
        <v>99</v>
      </c>
      <c r="E36" s="94">
        <f>E3+E4+E5+E6+E21+E23</f>
        <v>0</v>
      </c>
      <c r="F36" s="121">
        <f>F3+F4+F5+F6+F21+F23</f>
        <v>0</v>
      </c>
      <c r="G36" s="121">
        <f>G3+G4+G5+G6+G21+G23</f>
        <v>0</v>
      </c>
      <c r="H36" s="121">
        <f>H3+H4+H5+H6+H21+H23</f>
        <v>0</v>
      </c>
      <c r="M36" s="45" t="s">
        <v>99</v>
      </c>
      <c r="N36" s="94">
        <f>N3+N4+N5+N6+N21+N23</f>
        <v>7997833.0100000007</v>
      </c>
      <c r="O36" s="121">
        <f>O3+O4+O5+O6+O21+O23</f>
        <v>637</v>
      </c>
      <c r="P36" s="121">
        <f>P3+P4+P5+P6+P21+P23</f>
        <v>495</v>
      </c>
      <c r="Q36" s="121">
        <f>Q3+Q4+Q5+Q6+Q21+Q23</f>
        <v>432</v>
      </c>
    </row>
    <row r="37" spans="1:19" x14ac:dyDescent="0.2">
      <c r="D37" s="188" t="s">
        <v>272</v>
      </c>
      <c r="E37" s="192">
        <f>SUM(E3:E6,E15,E21,E23)</f>
        <v>0</v>
      </c>
      <c r="F37" s="186">
        <f>SUM(F3:F6,F15,F21,F23)</f>
        <v>0</v>
      </c>
      <c r="G37" s="186">
        <f>SUM(G3:G6,G15,G21,G23)</f>
        <v>0</v>
      </c>
      <c r="H37" s="186">
        <f>SUM(H3:H6,H15,H21,H23)</f>
        <v>0</v>
      </c>
      <c r="M37" s="188" t="s">
        <v>272</v>
      </c>
      <c r="N37" s="192">
        <f>SUM(N3:N6,N15,N21,N23)</f>
        <v>8237833.0100000007</v>
      </c>
      <c r="O37" s="186">
        <f>SUM(O3:O6,O15,O21,O23)</f>
        <v>661</v>
      </c>
      <c r="P37" s="186">
        <f>SUM(P3:P6,P15,P21,P23)</f>
        <v>526</v>
      </c>
      <c r="Q37" s="186">
        <f>SUM(Q3:Q6,Q15,Q21,Q23)</f>
        <v>461</v>
      </c>
    </row>
    <row r="38" spans="1:19" x14ac:dyDescent="0.2">
      <c r="D38" s="45" t="s">
        <v>99</v>
      </c>
      <c r="E38" s="94">
        <f>E3+E4+E5+E6+E15+E21+E23</f>
        <v>0</v>
      </c>
      <c r="F38" s="121">
        <f>F3+F4+F5+F6+F15+F21+F23</f>
        <v>0</v>
      </c>
      <c r="G38" s="121">
        <f>G3+G4+G5+G6+G15+G21+G23</f>
        <v>0</v>
      </c>
      <c r="H38" s="121">
        <f>H3+H4+H5+H6+H15+H21+H23</f>
        <v>0</v>
      </c>
      <c r="M38" s="45" t="s">
        <v>99</v>
      </c>
      <c r="N38" s="94">
        <f>N3+N4+N5+N6+N15+N21+N23</f>
        <v>8237833.0100000007</v>
      </c>
      <c r="O38" s="121">
        <f>O3+O4+O5+O6+O15+O21+O23</f>
        <v>661</v>
      </c>
      <c r="P38" s="121">
        <f>P3+P4+P5+P6+P15+P21+P23</f>
        <v>526</v>
      </c>
      <c r="Q38" s="121">
        <f>Q3+Q4+Q5+Q6+Q15+Q21+Q23</f>
        <v>461</v>
      </c>
    </row>
    <row r="39" spans="1:19" x14ac:dyDescent="0.2">
      <c r="D39" s="44"/>
      <c r="F39" s="45"/>
      <c r="G39" s="192" t="e">
        <f>SUM(H32)/G32*100</f>
        <v>#DIV/0!</v>
      </c>
      <c r="H39" s="193" t="e">
        <f>SUM(E32)/H32</f>
        <v>#DIV/0!</v>
      </c>
      <c r="P39" s="192">
        <f>SUM(Q32)/P32*100</f>
        <v>85.873605947955383</v>
      </c>
      <c r="Q39" s="193">
        <f>SUM(N32)/Q32</f>
        <v>17968.389653679653</v>
      </c>
    </row>
    <row r="40" spans="1:19" x14ac:dyDescent="0.2">
      <c r="D40" s="44"/>
      <c r="E40" s="196">
        <f>SUM(E3:E21,E23,E25:E31)</f>
        <v>0</v>
      </c>
      <c r="F40" s="200">
        <f>SUM(F3:F21,F23,F25:F31)</f>
        <v>0</v>
      </c>
      <c r="G40" s="200">
        <f>SUM(G3:G21,G23,G25:G31)</f>
        <v>0</v>
      </c>
      <c r="H40" s="200">
        <f>SUM(H3:H21,H23,H25:H31)</f>
        <v>0</v>
      </c>
      <c r="N40" s="196">
        <f>SUM(N3:N21,N23,N25:N31)</f>
        <v>8301396.0200000014</v>
      </c>
      <c r="O40" s="200">
        <f>SUM(O3:O21,O23,O25:O31)</f>
        <v>680</v>
      </c>
      <c r="P40" s="200">
        <f>SUM(P3:P21,P23,P25:P31)</f>
        <v>538</v>
      </c>
      <c r="Q40" s="200">
        <f>SUM(Q3:Q21,Q23,Q25:Q31)</f>
        <v>462</v>
      </c>
    </row>
    <row r="41" spans="1:19" x14ac:dyDescent="0.2">
      <c r="D41" s="44"/>
      <c r="E41" s="191">
        <f>SUM(E2:E31)</f>
        <v>0</v>
      </c>
      <c r="F41" s="121">
        <f>SUM(F2:F31)</f>
        <v>0</v>
      </c>
      <c r="G41" s="121">
        <f>SUM(G2:G31)</f>
        <v>0</v>
      </c>
      <c r="H41" s="121">
        <f>SUM(H2:H31)</f>
        <v>0</v>
      </c>
      <c r="N41" s="191">
        <f>SUM(N2:N31)</f>
        <v>16602792.039999999</v>
      </c>
      <c r="O41" s="121">
        <f>SUM(O2:O31)</f>
        <v>1360</v>
      </c>
      <c r="P41" s="121">
        <f>SUM(P2:P31)</f>
        <v>1076</v>
      </c>
      <c r="Q41" s="121">
        <f>SUM(Q2:Q31)</f>
        <v>924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Arkusz29">
    <tabColor theme="0"/>
  </sheetPr>
  <dimension ref="A1:S41"/>
  <sheetViews>
    <sheetView tabSelected="1" zoomScale="80" zoomScaleNormal="80" workbookViewId="0"/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8.7109375" style="45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195" t="s">
        <v>22</v>
      </c>
      <c r="B1" s="195" t="s">
        <v>23</v>
      </c>
      <c r="C1" s="195" t="s">
        <v>24</v>
      </c>
      <c r="D1" s="121" t="s">
        <v>25</v>
      </c>
      <c r="E1" s="193" t="s">
        <v>387</v>
      </c>
      <c r="F1" s="191" t="s">
        <v>388</v>
      </c>
      <c r="G1" s="191" t="s">
        <v>389</v>
      </c>
      <c r="H1" s="191" t="s">
        <v>390</v>
      </c>
      <c r="J1" s="195" t="s">
        <v>22</v>
      </c>
      <c r="K1" s="195" t="s">
        <v>23</v>
      </c>
      <c r="L1" s="195" t="s">
        <v>24</v>
      </c>
      <c r="M1" s="121" t="s">
        <v>25</v>
      </c>
      <c r="N1" s="193" t="s">
        <v>387</v>
      </c>
      <c r="O1" s="191" t="s">
        <v>388</v>
      </c>
      <c r="P1" s="191" t="s">
        <v>389</v>
      </c>
      <c r="Q1" s="191" t="s">
        <v>390</v>
      </c>
    </row>
    <row r="2" spans="1:19" ht="15" customHeight="1" x14ac:dyDescent="0.2">
      <c r="A2" s="195"/>
      <c r="B2" s="195"/>
      <c r="C2" s="195"/>
      <c r="D2" s="121"/>
      <c r="E2" s="191"/>
      <c r="F2" s="121"/>
      <c r="G2" s="121"/>
      <c r="H2" s="121"/>
      <c r="J2" s="195" t="s">
        <v>479</v>
      </c>
      <c r="K2" s="195" t="s">
        <v>26</v>
      </c>
      <c r="L2" s="195" t="s">
        <v>438</v>
      </c>
      <c r="M2" s="121" t="s">
        <v>27</v>
      </c>
      <c r="N2" s="196">
        <v>16780818.620000001</v>
      </c>
      <c r="O2" s="200">
        <v>1048</v>
      </c>
      <c r="P2" s="200">
        <v>906</v>
      </c>
      <c r="Q2" s="200">
        <v>853</v>
      </c>
      <c r="S2" s="44" t="s">
        <v>395</v>
      </c>
    </row>
    <row r="3" spans="1:19" x14ac:dyDescent="0.2">
      <c r="A3" s="195"/>
      <c r="B3" s="195"/>
      <c r="C3" s="195"/>
      <c r="D3" s="121"/>
      <c r="E3" s="191"/>
      <c r="F3" s="121"/>
      <c r="G3" s="121"/>
      <c r="H3" s="121"/>
      <c r="I3" s="186">
        <v>1</v>
      </c>
      <c r="J3" s="195" t="s">
        <v>479</v>
      </c>
      <c r="K3" s="195" t="s">
        <v>26</v>
      </c>
      <c r="L3" s="195" t="s">
        <v>438</v>
      </c>
      <c r="M3" s="121" t="s">
        <v>28</v>
      </c>
      <c r="N3" s="197">
        <v>3924402.13</v>
      </c>
      <c r="O3" s="198">
        <v>284</v>
      </c>
      <c r="P3" s="198">
        <v>262</v>
      </c>
      <c r="Q3" s="198">
        <v>232</v>
      </c>
      <c r="R3" s="186">
        <v>1</v>
      </c>
      <c r="S3" s="187" t="s">
        <v>396</v>
      </c>
    </row>
    <row r="4" spans="1:19" x14ac:dyDescent="0.2">
      <c r="A4" s="195"/>
      <c r="B4" s="195"/>
      <c r="C4" s="195"/>
      <c r="D4" s="121"/>
      <c r="E4" s="191"/>
      <c r="F4" s="121"/>
      <c r="G4" s="121"/>
      <c r="H4" s="121"/>
      <c r="I4" s="186">
        <v>2</v>
      </c>
      <c r="J4" s="195" t="s">
        <v>479</v>
      </c>
      <c r="K4" s="195" t="s">
        <v>26</v>
      </c>
      <c r="L4" s="195" t="s">
        <v>438</v>
      </c>
      <c r="M4" s="121" t="s">
        <v>29</v>
      </c>
      <c r="N4" s="197">
        <v>315527.67</v>
      </c>
      <c r="O4" s="198">
        <v>33</v>
      </c>
      <c r="P4" s="198">
        <v>33</v>
      </c>
      <c r="Q4" s="198">
        <v>24</v>
      </c>
      <c r="R4" s="186">
        <v>2</v>
      </c>
      <c r="S4" s="187" t="s">
        <v>397</v>
      </c>
    </row>
    <row r="5" spans="1:19" x14ac:dyDescent="0.2">
      <c r="A5" s="195"/>
      <c r="B5" s="195"/>
      <c r="C5" s="195"/>
      <c r="D5" s="121"/>
      <c r="E5" s="191"/>
      <c r="F5" s="121"/>
      <c r="G5" s="121"/>
      <c r="H5" s="121"/>
      <c r="I5" s="186">
        <v>3</v>
      </c>
      <c r="J5" s="195" t="s">
        <v>479</v>
      </c>
      <c r="K5" s="195" t="s">
        <v>26</v>
      </c>
      <c r="L5" s="195" t="s">
        <v>438</v>
      </c>
      <c r="M5" s="121" t="s">
        <v>30</v>
      </c>
      <c r="N5" s="197">
        <v>897458.74</v>
      </c>
      <c r="O5" s="198">
        <v>155</v>
      </c>
      <c r="P5" s="198">
        <v>127</v>
      </c>
      <c r="Q5" s="198">
        <v>125</v>
      </c>
      <c r="R5" s="186">
        <v>3</v>
      </c>
      <c r="S5" s="187" t="s">
        <v>399</v>
      </c>
    </row>
    <row r="6" spans="1:19" x14ac:dyDescent="0.2">
      <c r="A6" s="195"/>
      <c r="B6" s="195"/>
      <c r="C6" s="195"/>
      <c r="D6" s="121"/>
      <c r="E6" s="191"/>
      <c r="F6" s="121"/>
      <c r="G6" s="121"/>
      <c r="H6" s="121"/>
      <c r="I6" s="186">
        <v>4</v>
      </c>
      <c r="J6" s="195" t="s">
        <v>479</v>
      </c>
      <c r="K6" s="195" t="s">
        <v>26</v>
      </c>
      <c r="L6" s="195" t="s">
        <v>438</v>
      </c>
      <c r="M6" s="121" t="s">
        <v>31</v>
      </c>
      <c r="N6" s="197">
        <v>5886563.9800000004</v>
      </c>
      <c r="O6" s="198">
        <v>303</v>
      </c>
      <c r="P6" s="198">
        <v>234</v>
      </c>
      <c r="Q6" s="198">
        <v>230</v>
      </c>
      <c r="R6" s="186">
        <v>4</v>
      </c>
      <c r="S6" s="187" t="s">
        <v>398</v>
      </c>
    </row>
    <row r="7" spans="1:19" x14ac:dyDescent="0.2">
      <c r="A7" s="195"/>
      <c r="B7" s="195"/>
      <c r="C7" s="195"/>
      <c r="D7" s="121"/>
      <c r="E7" s="191"/>
      <c r="F7" s="121"/>
      <c r="G7" s="121"/>
      <c r="H7" s="121"/>
      <c r="I7" s="189" t="s">
        <v>417</v>
      </c>
      <c r="J7" s="195" t="s">
        <v>479</v>
      </c>
      <c r="K7" s="195" t="s">
        <v>26</v>
      </c>
      <c r="L7" s="195" t="s">
        <v>438</v>
      </c>
      <c r="M7" s="121" t="s">
        <v>32</v>
      </c>
      <c r="N7" s="199">
        <v>0</v>
      </c>
      <c r="O7" s="198">
        <v>0</v>
      </c>
      <c r="P7" s="198">
        <v>0</v>
      </c>
      <c r="Q7" s="198">
        <v>0</v>
      </c>
      <c r="R7" s="189" t="s">
        <v>417</v>
      </c>
      <c r="S7" s="187" t="s">
        <v>400</v>
      </c>
    </row>
    <row r="8" spans="1:19" x14ac:dyDescent="0.2">
      <c r="A8" s="195"/>
      <c r="B8" s="195"/>
      <c r="C8" s="195"/>
      <c r="D8" s="121"/>
      <c r="E8" s="191"/>
      <c r="F8" s="121"/>
      <c r="G8" s="121"/>
      <c r="H8" s="121"/>
      <c r="I8" s="121"/>
      <c r="J8" s="195" t="s">
        <v>479</v>
      </c>
      <c r="K8" s="195" t="s">
        <v>26</v>
      </c>
      <c r="L8" s="195" t="s">
        <v>438</v>
      </c>
      <c r="M8" s="121" t="s">
        <v>33</v>
      </c>
      <c r="N8" s="196">
        <v>0</v>
      </c>
      <c r="O8" s="200">
        <v>0</v>
      </c>
      <c r="P8" s="200">
        <v>0</v>
      </c>
      <c r="Q8" s="200">
        <v>0</v>
      </c>
      <c r="R8" s="121"/>
      <c r="S8" s="44" t="s">
        <v>401</v>
      </c>
    </row>
    <row r="9" spans="1:19" x14ac:dyDescent="0.2">
      <c r="A9" s="195"/>
      <c r="B9" s="195"/>
      <c r="C9" s="195"/>
      <c r="D9" s="121"/>
      <c r="E9" s="191"/>
      <c r="F9" s="121"/>
      <c r="G9" s="121"/>
      <c r="H9" s="121"/>
      <c r="I9" s="121"/>
      <c r="J9" s="195" t="s">
        <v>479</v>
      </c>
      <c r="K9" s="195" t="s">
        <v>26</v>
      </c>
      <c r="L9" s="195" t="s">
        <v>438</v>
      </c>
      <c r="M9" s="121" t="s">
        <v>34</v>
      </c>
      <c r="N9" s="196">
        <v>0</v>
      </c>
      <c r="O9" s="200">
        <v>0</v>
      </c>
      <c r="P9" s="200">
        <v>0</v>
      </c>
      <c r="Q9" s="200">
        <v>0</v>
      </c>
      <c r="R9" s="121"/>
      <c r="S9" s="44" t="s">
        <v>6</v>
      </c>
    </row>
    <row r="10" spans="1:19" ht="15" customHeight="1" x14ac:dyDescent="0.2">
      <c r="A10" s="195"/>
      <c r="B10" s="195"/>
      <c r="C10" s="195"/>
      <c r="D10" s="121"/>
      <c r="E10" s="191"/>
      <c r="F10" s="121"/>
      <c r="G10" s="121"/>
      <c r="H10" s="121"/>
      <c r="I10" s="121"/>
      <c r="J10" s="195" t="s">
        <v>479</v>
      </c>
      <c r="K10" s="195" t="s">
        <v>26</v>
      </c>
      <c r="L10" s="195" t="s">
        <v>438</v>
      </c>
      <c r="M10" s="121" t="s">
        <v>35</v>
      </c>
      <c r="N10" s="196">
        <v>0</v>
      </c>
      <c r="O10" s="200">
        <v>0</v>
      </c>
      <c r="P10" s="200">
        <v>0</v>
      </c>
      <c r="Q10" s="200">
        <v>0</v>
      </c>
      <c r="R10" s="121"/>
      <c r="S10" s="44" t="s">
        <v>402</v>
      </c>
    </row>
    <row r="11" spans="1:19" ht="15" customHeight="1" x14ac:dyDescent="0.2">
      <c r="A11" s="195"/>
      <c r="B11" s="195"/>
      <c r="C11" s="195"/>
      <c r="D11" s="121"/>
      <c r="E11" s="191"/>
      <c r="F11" s="121"/>
      <c r="G11" s="121"/>
      <c r="H11" s="121"/>
      <c r="I11" s="121"/>
      <c r="J11" s="195" t="s">
        <v>479</v>
      </c>
      <c r="K11" s="195" t="s">
        <v>26</v>
      </c>
      <c r="L11" s="195" t="s">
        <v>438</v>
      </c>
      <c r="M11" s="121" t="s">
        <v>36</v>
      </c>
      <c r="N11" s="196">
        <v>0</v>
      </c>
      <c r="O11" s="200">
        <v>0</v>
      </c>
      <c r="P11" s="200">
        <v>0</v>
      </c>
      <c r="Q11" s="200">
        <v>0</v>
      </c>
      <c r="R11" s="121"/>
      <c r="S11" s="44" t="s">
        <v>8</v>
      </c>
    </row>
    <row r="12" spans="1:19" x14ac:dyDescent="0.2">
      <c r="A12" s="195"/>
      <c r="B12" s="195"/>
      <c r="C12" s="195"/>
      <c r="D12" s="121"/>
      <c r="E12" s="191"/>
      <c r="F12" s="121"/>
      <c r="G12" s="121"/>
      <c r="H12" s="121"/>
      <c r="I12" s="121"/>
      <c r="J12" s="195" t="s">
        <v>479</v>
      </c>
      <c r="K12" s="195" t="s">
        <v>26</v>
      </c>
      <c r="L12" s="195" t="s">
        <v>438</v>
      </c>
      <c r="M12" s="121" t="s">
        <v>37</v>
      </c>
      <c r="N12" s="196">
        <v>0</v>
      </c>
      <c r="O12" s="200">
        <v>0</v>
      </c>
      <c r="P12" s="200">
        <v>0</v>
      </c>
      <c r="Q12" s="200">
        <v>0</v>
      </c>
      <c r="R12" s="121"/>
      <c r="S12" s="44" t="s">
        <v>403</v>
      </c>
    </row>
    <row r="13" spans="1:19" x14ac:dyDescent="0.2">
      <c r="A13" s="195"/>
      <c r="B13" s="195"/>
      <c r="C13" s="195"/>
      <c r="D13" s="121"/>
      <c r="E13" s="191"/>
      <c r="F13" s="121"/>
      <c r="G13" s="121"/>
      <c r="H13" s="121"/>
      <c r="I13" s="189" t="s">
        <v>419</v>
      </c>
      <c r="J13" s="195" t="s">
        <v>479</v>
      </c>
      <c r="K13" s="195" t="s">
        <v>26</v>
      </c>
      <c r="L13" s="195" t="s">
        <v>438</v>
      </c>
      <c r="M13" s="121" t="s">
        <v>26</v>
      </c>
      <c r="N13" s="199">
        <v>31140.87</v>
      </c>
      <c r="O13" s="198">
        <v>6</v>
      </c>
      <c r="P13" s="198">
        <v>2</v>
      </c>
      <c r="Q13" s="198">
        <v>1</v>
      </c>
      <c r="R13" s="189" t="s">
        <v>419</v>
      </c>
      <c r="S13" s="187" t="s">
        <v>9</v>
      </c>
    </row>
    <row r="14" spans="1:19" ht="15" customHeight="1" x14ac:dyDescent="0.2">
      <c r="A14" s="195"/>
      <c r="B14" s="195"/>
      <c r="C14" s="195"/>
      <c r="D14" s="121"/>
      <c r="E14" s="191"/>
      <c r="F14" s="121"/>
      <c r="G14" s="121"/>
      <c r="H14" s="121"/>
      <c r="I14" s="121"/>
      <c r="J14" s="195" t="s">
        <v>479</v>
      </c>
      <c r="K14" s="195" t="s">
        <v>26</v>
      </c>
      <c r="L14" s="195" t="s">
        <v>438</v>
      </c>
      <c r="M14" s="121" t="s">
        <v>38</v>
      </c>
      <c r="N14" s="196">
        <v>0</v>
      </c>
      <c r="O14" s="200">
        <v>0</v>
      </c>
      <c r="P14" s="200">
        <v>0</v>
      </c>
      <c r="Q14" s="200">
        <v>0</v>
      </c>
      <c r="R14" s="121"/>
      <c r="S14" s="44" t="s">
        <v>404</v>
      </c>
    </row>
    <row r="15" spans="1:19" ht="15" customHeight="1" x14ac:dyDescent="0.2">
      <c r="A15" s="195"/>
      <c r="B15" s="195"/>
      <c r="C15" s="195"/>
      <c r="D15" s="121"/>
      <c r="E15" s="191"/>
      <c r="F15" s="121"/>
      <c r="G15" s="121"/>
      <c r="H15" s="121"/>
      <c r="I15" s="189" t="s">
        <v>51</v>
      </c>
      <c r="J15" s="195" t="s">
        <v>479</v>
      </c>
      <c r="K15" s="195" t="s">
        <v>26</v>
      </c>
      <c r="L15" s="195" t="s">
        <v>438</v>
      </c>
      <c r="M15" s="121" t="s">
        <v>39</v>
      </c>
      <c r="N15" s="199">
        <v>1010665.5</v>
      </c>
      <c r="O15" s="198">
        <v>82</v>
      </c>
      <c r="P15" s="198">
        <v>31</v>
      </c>
      <c r="Q15" s="198">
        <v>25</v>
      </c>
      <c r="R15" s="189" t="s">
        <v>51</v>
      </c>
      <c r="S15" s="187" t="s">
        <v>11</v>
      </c>
    </row>
    <row r="16" spans="1:19" x14ac:dyDescent="0.2">
      <c r="A16" s="195"/>
      <c r="B16" s="195"/>
      <c r="C16" s="195"/>
      <c r="D16" s="121"/>
      <c r="E16" s="191"/>
      <c r="F16" s="121"/>
      <c r="G16" s="121"/>
      <c r="H16" s="121"/>
      <c r="I16" s="189" t="s">
        <v>418</v>
      </c>
      <c r="J16" s="195" t="s">
        <v>479</v>
      </c>
      <c r="K16" s="195" t="s">
        <v>26</v>
      </c>
      <c r="L16" s="195" t="s">
        <v>438</v>
      </c>
      <c r="M16" s="121" t="s">
        <v>40</v>
      </c>
      <c r="N16" s="199">
        <v>0</v>
      </c>
      <c r="O16" s="198">
        <v>0</v>
      </c>
      <c r="P16" s="198">
        <v>0</v>
      </c>
      <c r="Q16" s="198">
        <v>0</v>
      </c>
      <c r="R16" s="189" t="s">
        <v>418</v>
      </c>
      <c r="S16" s="187" t="s">
        <v>405</v>
      </c>
    </row>
    <row r="17" spans="1:19" x14ac:dyDescent="0.2">
      <c r="A17" s="195"/>
      <c r="B17" s="195"/>
      <c r="C17" s="195"/>
      <c r="D17" s="121"/>
      <c r="E17" s="191"/>
      <c r="F17" s="121"/>
      <c r="G17" s="121"/>
      <c r="H17" s="121"/>
      <c r="I17" s="121"/>
      <c r="J17" s="195" t="s">
        <v>479</v>
      </c>
      <c r="K17" s="195" t="s">
        <v>26</v>
      </c>
      <c r="L17" s="195" t="s">
        <v>438</v>
      </c>
      <c r="M17" s="121" t="s">
        <v>41</v>
      </c>
      <c r="N17" s="196">
        <v>0</v>
      </c>
      <c r="O17" s="200">
        <v>0</v>
      </c>
      <c r="P17" s="200">
        <v>0</v>
      </c>
      <c r="Q17" s="200">
        <v>0</v>
      </c>
      <c r="R17" s="121"/>
      <c r="S17" s="44" t="s">
        <v>406</v>
      </c>
    </row>
    <row r="18" spans="1:19" ht="15" customHeight="1" x14ac:dyDescent="0.2">
      <c r="A18" s="195"/>
      <c r="B18" s="195"/>
      <c r="C18" s="195"/>
      <c r="D18" s="121"/>
      <c r="E18" s="191"/>
      <c r="F18" s="121"/>
      <c r="G18" s="121"/>
      <c r="H18" s="121"/>
      <c r="I18" s="189" t="s">
        <v>420</v>
      </c>
      <c r="J18" s="195" t="s">
        <v>479</v>
      </c>
      <c r="K18" s="195" t="s">
        <v>26</v>
      </c>
      <c r="L18" s="195" t="s">
        <v>438</v>
      </c>
      <c r="M18" s="121" t="s">
        <v>42</v>
      </c>
      <c r="N18" s="199">
        <v>10695.28</v>
      </c>
      <c r="O18" s="198">
        <v>2</v>
      </c>
      <c r="P18" s="198">
        <v>0</v>
      </c>
      <c r="Q18" s="198">
        <v>0</v>
      </c>
      <c r="R18" s="189" t="s">
        <v>420</v>
      </c>
      <c r="S18" s="187" t="s">
        <v>376</v>
      </c>
    </row>
    <row r="19" spans="1:19" ht="15" customHeight="1" x14ac:dyDescent="0.2">
      <c r="A19" s="195"/>
      <c r="B19" s="195"/>
      <c r="C19" s="195"/>
      <c r="D19" s="121"/>
      <c r="E19" s="191"/>
      <c r="F19" s="121"/>
      <c r="G19" s="121"/>
      <c r="H19" s="121"/>
      <c r="I19" s="189" t="s">
        <v>416</v>
      </c>
      <c r="J19" s="195" t="s">
        <v>479</v>
      </c>
      <c r="K19" s="195" t="s">
        <v>26</v>
      </c>
      <c r="L19" s="195" t="s">
        <v>438</v>
      </c>
      <c r="M19" s="121" t="s">
        <v>43</v>
      </c>
      <c r="N19" s="199">
        <v>0</v>
      </c>
      <c r="O19" s="198">
        <v>0</v>
      </c>
      <c r="P19" s="198">
        <v>0</v>
      </c>
      <c r="Q19" s="198">
        <v>0</v>
      </c>
      <c r="R19" s="189" t="s">
        <v>416</v>
      </c>
      <c r="S19" s="187" t="s">
        <v>377</v>
      </c>
    </row>
    <row r="20" spans="1:19" x14ac:dyDescent="0.2">
      <c r="A20" s="195"/>
      <c r="B20" s="195"/>
      <c r="C20" s="195"/>
      <c r="D20" s="121"/>
      <c r="E20" s="191"/>
      <c r="F20" s="121"/>
      <c r="G20" s="121"/>
      <c r="H20" s="121"/>
      <c r="I20" s="121"/>
      <c r="J20" s="195" t="s">
        <v>479</v>
      </c>
      <c r="K20" s="195" t="s">
        <v>26</v>
      </c>
      <c r="L20" s="195" t="s">
        <v>438</v>
      </c>
      <c r="M20" s="121" t="s">
        <v>44</v>
      </c>
      <c r="N20" s="196">
        <v>0</v>
      </c>
      <c r="O20" s="200">
        <v>0</v>
      </c>
      <c r="P20" s="200">
        <v>0</v>
      </c>
      <c r="Q20" s="200">
        <v>0</v>
      </c>
      <c r="R20" s="121"/>
      <c r="S20" s="44" t="s">
        <v>15</v>
      </c>
    </row>
    <row r="21" spans="1:19" x14ac:dyDescent="0.2">
      <c r="A21" s="195"/>
      <c r="B21" s="195"/>
      <c r="C21" s="195"/>
      <c r="D21" s="121"/>
      <c r="E21" s="191"/>
      <c r="F21" s="121"/>
      <c r="G21" s="121"/>
      <c r="H21" s="121"/>
      <c r="I21" s="186">
        <v>6</v>
      </c>
      <c r="J21" s="195" t="s">
        <v>479</v>
      </c>
      <c r="K21" s="195" t="s">
        <v>26</v>
      </c>
      <c r="L21" s="195" t="s">
        <v>438</v>
      </c>
      <c r="M21" s="121" t="s">
        <v>45</v>
      </c>
      <c r="N21" s="197">
        <v>2403510</v>
      </c>
      <c r="O21" s="198">
        <v>117</v>
      </c>
      <c r="P21" s="198">
        <v>93</v>
      </c>
      <c r="Q21" s="198">
        <v>93</v>
      </c>
      <c r="R21" s="186">
        <v>6</v>
      </c>
      <c r="S21" s="187" t="s">
        <v>16</v>
      </c>
    </row>
    <row r="22" spans="1:19" x14ac:dyDescent="0.2">
      <c r="A22" s="195"/>
      <c r="B22" s="195"/>
      <c r="C22" s="195"/>
      <c r="D22" s="121"/>
      <c r="E22" s="191"/>
      <c r="F22" s="121"/>
      <c r="G22" s="121"/>
      <c r="H22" s="121"/>
      <c r="I22" s="121"/>
      <c r="J22" s="195" t="s">
        <v>479</v>
      </c>
      <c r="K22" s="195" t="s">
        <v>26</v>
      </c>
      <c r="L22" s="195" t="s">
        <v>438</v>
      </c>
      <c r="M22" s="121" t="s">
        <v>46</v>
      </c>
      <c r="N22" s="196">
        <v>0</v>
      </c>
      <c r="O22" s="200">
        <v>0</v>
      </c>
      <c r="P22" s="200">
        <v>0</v>
      </c>
      <c r="Q22" s="200">
        <v>0</v>
      </c>
      <c r="R22" s="121"/>
      <c r="S22" s="44" t="s">
        <v>407</v>
      </c>
    </row>
    <row r="23" spans="1:19" ht="15" customHeight="1" x14ac:dyDescent="0.2">
      <c r="A23" s="195"/>
      <c r="B23" s="195"/>
      <c r="C23" s="195"/>
      <c r="D23" s="121"/>
      <c r="E23" s="191"/>
      <c r="F23" s="121"/>
      <c r="G23" s="121"/>
      <c r="H23" s="121"/>
      <c r="I23" s="186">
        <v>5</v>
      </c>
      <c r="J23" s="195" t="s">
        <v>479</v>
      </c>
      <c r="K23" s="195" t="s">
        <v>26</v>
      </c>
      <c r="L23" s="195" t="s">
        <v>438</v>
      </c>
      <c r="M23" s="121" t="s">
        <v>47</v>
      </c>
      <c r="N23" s="197">
        <v>2300854.4500000002</v>
      </c>
      <c r="O23" s="198">
        <v>66</v>
      </c>
      <c r="P23" s="198">
        <v>124</v>
      </c>
      <c r="Q23" s="198">
        <v>123</v>
      </c>
      <c r="R23" s="186">
        <v>5</v>
      </c>
      <c r="S23" s="187" t="s">
        <v>17</v>
      </c>
    </row>
    <row r="24" spans="1:19" ht="15" customHeight="1" x14ac:dyDescent="0.2">
      <c r="A24" s="195"/>
      <c r="B24" s="195"/>
      <c r="C24" s="195"/>
      <c r="D24" s="121"/>
      <c r="E24" s="191"/>
      <c r="F24" s="121"/>
      <c r="G24" s="121"/>
      <c r="H24" s="121"/>
      <c r="I24" s="45"/>
      <c r="J24" s="195" t="s">
        <v>479</v>
      </c>
      <c r="K24" s="195" t="s">
        <v>26</v>
      </c>
      <c r="L24" s="195" t="s">
        <v>438</v>
      </c>
      <c r="M24" s="121" t="s">
        <v>48</v>
      </c>
      <c r="N24" s="196">
        <v>0</v>
      </c>
      <c r="O24" s="200">
        <v>0</v>
      </c>
      <c r="P24" s="200">
        <v>0</v>
      </c>
      <c r="Q24" s="200">
        <v>0</v>
      </c>
      <c r="S24" s="44" t="s">
        <v>407</v>
      </c>
    </row>
    <row r="25" spans="1:19" ht="15" customHeight="1" x14ac:dyDescent="0.2">
      <c r="A25" s="195"/>
      <c r="B25" s="195"/>
      <c r="C25" s="195"/>
      <c r="D25" s="121"/>
      <c r="E25" s="191"/>
      <c r="F25" s="121"/>
      <c r="G25" s="121"/>
      <c r="H25" s="121"/>
      <c r="I25" s="45"/>
      <c r="J25" s="195" t="s">
        <v>479</v>
      </c>
      <c r="K25" s="195" t="s">
        <v>26</v>
      </c>
      <c r="L25" s="195" t="s">
        <v>438</v>
      </c>
      <c r="M25" s="121" t="s">
        <v>319</v>
      </c>
      <c r="N25" s="196">
        <v>0</v>
      </c>
      <c r="O25" s="200">
        <v>0</v>
      </c>
      <c r="P25" s="200">
        <v>0</v>
      </c>
      <c r="Q25" s="200">
        <v>0</v>
      </c>
      <c r="S25" s="44" t="s">
        <v>18</v>
      </c>
    </row>
    <row r="26" spans="1:19" ht="15" customHeight="1" x14ac:dyDescent="0.2">
      <c r="A26" s="195"/>
      <c r="B26" s="195"/>
      <c r="C26" s="195"/>
      <c r="D26" s="121"/>
      <c r="E26" s="191"/>
      <c r="F26" s="121"/>
      <c r="G26" s="121"/>
      <c r="H26" s="121"/>
      <c r="I26" s="190" t="s">
        <v>421</v>
      </c>
      <c r="J26" s="195" t="s">
        <v>479</v>
      </c>
      <c r="K26" s="195" t="s">
        <v>26</v>
      </c>
      <c r="L26" s="195" t="s">
        <v>438</v>
      </c>
      <c r="M26" s="121" t="s">
        <v>320</v>
      </c>
      <c r="N26" s="199">
        <v>0</v>
      </c>
      <c r="O26" s="198">
        <v>0</v>
      </c>
      <c r="P26" s="198">
        <v>0</v>
      </c>
      <c r="Q26" s="198">
        <v>0</v>
      </c>
      <c r="R26" s="190" t="s">
        <v>421</v>
      </c>
      <c r="S26" s="187" t="s">
        <v>358</v>
      </c>
    </row>
    <row r="27" spans="1:19" x14ac:dyDescent="0.2">
      <c r="A27" s="195"/>
      <c r="B27" s="195"/>
      <c r="C27" s="195"/>
      <c r="D27" s="121"/>
      <c r="E27" s="191"/>
      <c r="F27" s="121"/>
      <c r="G27" s="121"/>
      <c r="H27" s="121"/>
      <c r="I27" s="190" t="s">
        <v>415</v>
      </c>
      <c r="J27" s="195" t="s">
        <v>479</v>
      </c>
      <c r="K27" s="195" t="s">
        <v>26</v>
      </c>
      <c r="L27" s="195" t="s">
        <v>438</v>
      </c>
      <c r="M27" s="121" t="s">
        <v>321</v>
      </c>
      <c r="N27" s="199">
        <v>0</v>
      </c>
      <c r="O27" s="198">
        <v>0</v>
      </c>
      <c r="P27" s="198">
        <v>0</v>
      </c>
      <c r="Q27" s="198">
        <v>0</v>
      </c>
      <c r="R27" s="190" t="s">
        <v>415</v>
      </c>
      <c r="S27" s="187" t="s">
        <v>408</v>
      </c>
    </row>
    <row r="28" spans="1:19" x14ac:dyDescent="0.2">
      <c r="A28" s="195"/>
      <c r="B28" s="195"/>
      <c r="C28" s="195"/>
      <c r="D28" s="121"/>
      <c r="E28" s="191"/>
      <c r="F28" s="121"/>
      <c r="G28" s="121"/>
      <c r="H28" s="121"/>
      <c r="J28" s="195" t="s">
        <v>479</v>
      </c>
      <c r="K28" s="195" t="s">
        <v>26</v>
      </c>
      <c r="L28" s="195" t="s">
        <v>438</v>
      </c>
      <c r="M28" s="121" t="s">
        <v>322</v>
      </c>
      <c r="N28" s="196">
        <v>0</v>
      </c>
      <c r="O28" s="200">
        <v>0</v>
      </c>
      <c r="P28" s="200">
        <v>0</v>
      </c>
      <c r="Q28" s="200">
        <v>0</v>
      </c>
      <c r="S28" s="44" t="s">
        <v>215</v>
      </c>
    </row>
    <row r="29" spans="1:19" x14ac:dyDescent="0.2">
      <c r="A29" s="195"/>
      <c r="B29" s="195"/>
      <c r="C29" s="195"/>
      <c r="D29" s="121"/>
      <c r="E29" s="191"/>
      <c r="F29" s="121"/>
      <c r="G29" s="121"/>
      <c r="H29" s="121"/>
      <c r="J29" s="195" t="s">
        <v>479</v>
      </c>
      <c r="K29" s="195" t="s">
        <v>26</v>
      </c>
      <c r="L29" s="195" t="s">
        <v>438</v>
      </c>
      <c r="M29" s="121" t="s">
        <v>391</v>
      </c>
      <c r="N29" s="196">
        <v>0</v>
      </c>
      <c r="O29" s="200">
        <v>0</v>
      </c>
      <c r="P29" s="200">
        <v>0</v>
      </c>
      <c r="Q29" s="200">
        <v>0</v>
      </c>
      <c r="S29" s="44" t="s">
        <v>409</v>
      </c>
    </row>
    <row r="30" spans="1:19" ht="15" customHeight="1" x14ac:dyDescent="0.2">
      <c r="A30" s="195"/>
      <c r="B30" s="195"/>
      <c r="C30" s="195"/>
      <c r="D30" s="121"/>
      <c r="E30" s="191"/>
      <c r="F30" s="121"/>
      <c r="G30" s="121"/>
      <c r="H30" s="121"/>
      <c r="J30" s="195" t="s">
        <v>479</v>
      </c>
      <c r="K30" s="195" t="s">
        <v>26</v>
      </c>
      <c r="L30" s="195" t="s">
        <v>438</v>
      </c>
      <c r="M30" s="121" t="s">
        <v>392</v>
      </c>
      <c r="N30" s="196">
        <v>0</v>
      </c>
      <c r="O30" s="200">
        <v>0</v>
      </c>
      <c r="P30" s="200">
        <v>0</v>
      </c>
      <c r="Q30" s="200">
        <v>0</v>
      </c>
      <c r="S30" s="44" t="s">
        <v>410</v>
      </c>
    </row>
    <row r="31" spans="1:19" x14ac:dyDescent="0.2">
      <c r="A31" s="195"/>
      <c r="B31" s="195"/>
      <c r="C31" s="195"/>
      <c r="D31" s="121"/>
      <c r="E31" s="191"/>
      <c r="F31" s="121"/>
      <c r="G31" s="121"/>
      <c r="H31" s="121"/>
      <c r="J31" s="195" t="s">
        <v>479</v>
      </c>
      <c r="K31" s="195" t="s">
        <v>26</v>
      </c>
      <c r="L31" s="195" t="s">
        <v>438</v>
      </c>
      <c r="M31" s="121" t="s">
        <v>393</v>
      </c>
      <c r="N31" s="196">
        <v>0</v>
      </c>
      <c r="O31" s="200">
        <v>0</v>
      </c>
      <c r="P31" s="200">
        <v>0</v>
      </c>
      <c r="Q31" s="200">
        <v>0</v>
      </c>
      <c r="S31" s="44" t="s">
        <v>411</v>
      </c>
    </row>
    <row r="32" spans="1:19" x14ac:dyDescent="0.2">
      <c r="A32" s="195"/>
      <c r="B32" s="195"/>
      <c r="C32" s="195"/>
      <c r="D32" s="201"/>
      <c r="E32" s="202"/>
      <c r="F32" s="201"/>
      <c r="G32" s="201"/>
      <c r="H32" s="201"/>
      <c r="J32" s="195" t="s">
        <v>479</v>
      </c>
      <c r="K32" s="195" t="s">
        <v>26</v>
      </c>
      <c r="L32" s="195" t="s">
        <v>438</v>
      </c>
      <c r="M32" s="201" t="s">
        <v>394</v>
      </c>
      <c r="N32" s="203">
        <v>33561637.240000002</v>
      </c>
      <c r="O32" s="204">
        <v>2096</v>
      </c>
      <c r="P32" s="204">
        <v>1812</v>
      </c>
      <c r="Q32" s="204">
        <v>1706</v>
      </c>
      <c r="S32" s="185" t="s">
        <v>412</v>
      </c>
    </row>
    <row r="33" spans="1:19" x14ac:dyDescent="0.2">
      <c r="A33" s="195"/>
      <c r="B33" s="195"/>
      <c r="C33" s="195"/>
      <c r="D33" s="121"/>
      <c r="E33" s="191"/>
      <c r="F33" s="121"/>
      <c r="G33" s="121"/>
      <c r="H33" s="121"/>
      <c r="J33" s="195" t="s">
        <v>479</v>
      </c>
      <c r="K33" s="195" t="s">
        <v>26</v>
      </c>
      <c r="L33" s="195" t="s">
        <v>438</v>
      </c>
      <c r="M33" s="121" t="s">
        <v>49</v>
      </c>
      <c r="N33" s="196">
        <v>0</v>
      </c>
      <c r="O33" s="200">
        <v>0</v>
      </c>
      <c r="P33" s="200">
        <v>0</v>
      </c>
      <c r="Q33" s="200">
        <v>0</v>
      </c>
      <c r="S33" s="44" t="s">
        <v>413</v>
      </c>
    </row>
    <row r="34" spans="1:19" x14ac:dyDescent="0.2">
      <c r="A34" s="195"/>
      <c r="B34" s="195"/>
      <c r="C34" s="195"/>
      <c r="D34" s="121"/>
      <c r="E34" s="191"/>
      <c r="F34" s="121"/>
      <c r="G34" s="121"/>
      <c r="H34" s="121"/>
      <c r="J34" s="195" t="s">
        <v>479</v>
      </c>
      <c r="K34" s="195" t="s">
        <v>26</v>
      </c>
      <c r="L34" s="195" t="s">
        <v>438</v>
      </c>
      <c r="M34" s="121" t="s">
        <v>50</v>
      </c>
      <c r="N34" s="196">
        <v>0</v>
      </c>
      <c r="O34" s="200">
        <v>0</v>
      </c>
      <c r="P34" s="200">
        <v>0</v>
      </c>
      <c r="Q34" s="200">
        <v>0</v>
      </c>
      <c r="S34" s="44" t="s">
        <v>414</v>
      </c>
    </row>
    <row r="35" spans="1:19" x14ac:dyDescent="0.2">
      <c r="D35" s="188" t="s">
        <v>89</v>
      </c>
      <c r="E35" s="192">
        <f>SUM(E3:E6,E21,E23)</f>
        <v>0</v>
      </c>
      <c r="F35" s="186">
        <f>SUM(F3:F6,F21,F23)</f>
        <v>0</v>
      </c>
      <c r="G35" s="186">
        <f>SUM(G3:G6,G21,G23)</f>
        <v>0</v>
      </c>
      <c r="H35" s="186">
        <f>SUM(H3:H6,H21,H23)</f>
        <v>0</v>
      </c>
      <c r="M35" s="188" t="s">
        <v>89</v>
      </c>
      <c r="N35" s="192">
        <f>SUM(N3:N6,N21,N23)</f>
        <v>15728316.969999999</v>
      </c>
      <c r="O35" s="186">
        <f>SUM(O3:O6,O21,O23)</f>
        <v>958</v>
      </c>
      <c r="P35" s="186">
        <f>SUM(P3:P6,P21,P23)</f>
        <v>873</v>
      </c>
      <c r="Q35" s="186">
        <f>SUM(Q3:Q6,Q21,Q23)</f>
        <v>827</v>
      </c>
    </row>
    <row r="36" spans="1:19" x14ac:dyDescent="0.2">
      <c r="D36" s="45" t="s">
        <v>99</v>
      </c>
      <c r="E36" s="94">
        <f>E3+E4+E5+E6+E21+E23</f>
        <v>0</v>
      </c>
      <c r="F36" s="121">
        <f>F3+F4+F5+F6+F21+F23</f>
        <v>0</v>
      </c>
      <c r="G36" s="121">
        <f>G3+G4+G5+G6+G21+G23</f>
        <v>0</v>
      </c>
      <c r="H36" s="121">
        <f>H3+H4+H5+H6+H21+H23</f>
        <v>0</v>
      </c>
      <c r="M36" s="45" t="s">
        <v>99</v>
      </c>
      <c r="N36" s="94">
        <f>N3+N4+N5+N6+N21+N23</f>
        <v>15728316.969999999</v>
      </c>
      <c r="O36" s="121">
        <f>O3+O4+O5+O6+O21+O23</f>
        <v>958</v>
      </c>
      <c r="P36" s="121">
        <f>P3+P4+P5+P6+P21+P23</f>
        <v>873</v>
      </c>
      <c r="Q36" s="121">
        <f>Q3+Q4+Q5+Q6+Q21+Q23</f>
        <v>827</v>
      </c>
    </row>
    <row r="37" spans="1:19" x14ac:dyDescent="0.2">
      <c r="D37" s="188" t="s">
        <v>272</v>
      </c>
      <c r="E37" s="192">
        <f>SUM(E3:E6,E15,E21,E23)</f>
        <v>0</v>
      </c>
      <c r="F37" s="186">
        <f>SUM(F3:F6,F15,F21,F23)</f>
        <v>0</v>
      </c>
      <c r="G37" s="186">
        <f>SUM(G3:G6,G15,G21,G23)</f>
        <v>0</v>
      </c>
      <c r="H37" s="186">
        <f>SUM(H3:H6,H15,H21,H23)</f>
        <v>0</v>
      </c>
      <c r="M37" s="188" t="s">
        <v>272</v>
      </c>
      <c r="N37" s="192">
        <f>SUM(N3:N6,N15,N21,N23)</f>
        <v>16738982.469999999</v>
      </c>
      <c r="O37" s="186">
        <f>SUM(O3:O6,O15,O21,O23)</f>
        <v>1040</v>
      </c>
      <c r="P37" s="186">
        <f>SUM(P3:P6,P15,P21,P23)</f>
        <v>904</v>
      </c>
      <c r="Q37" s="186">
        <f>SUM(Q3:Q6,Q15,Q21,Q23)</f>
        <v>852</v>
      </c>
    </row>
    <row r="38" spans="1:19" x14ac:dyDescent="0.2">
      <c r="D38" s="45" t="s">
        <v>99</v>
      </c>
      <c r="E38" s="94">
        <f>E3+E4+E5+E6+E15+E21+E23</f>
        <v>0</v>
      </c>
      <c r="F38" s="121">
        <f>F3+F4+F5+F6+F15+F21+F23</f>
        <v>0</v>
      </c>
      <c r="G38" s="121">
        <f>G3+G4+G5+G6+G15+G21+G23</f>
        <v>0</v>
      </c>
      <c r="H38" s="121">
        <f>H3+H4+H5+H6+H15+H21+H23</f>
        <v>0</v>
      </c>
      <c r="M38" s="45" t="s">
        <v>99</v>
      </c>
      <c r="N38" s="94">
        <f>N3+N4+N5+N6+N15+N21+N23</f>
        <v>16738982.469999999</v>
      </c>
      <c r="O38" s="121">
        <f>O3+O4+O5+O6+O15+O21+O23</f>
        <v>1040</v>
      </c>
      <c r="P38" s="121">
        <f>P3+P4+P5+P6+P15+P21+P23</f>
        <v>904</v>
      </c>
      <c r="Q38" s="121">
        <f>Q3+Q4+Q5+Q6+Q15+Q21+Q23</f>
        <v>852</v>
      </c>
    </row>
    <row r="39" spans="1:19" x14ac:dyDescent="0.2">
      <c r="D39" s="44"/>
      <c r="F39" s="45"/>
      <c r="G39" s="192" t="e">
        <f>SUM(H32)/G32*100</f>
        <v>#DIV/0!</v>
      </c>
      <c r="H39" s="193" t="e">
        <f>SUM(E32)/H32</f>
        <v>#DIV/0!</v>
      </c>
      <c r="P39" s="192">
        <f>SUM(Q32)/P32*100</f>
        <v>94.150110375275943</v>
      </c>
      <c r="Q39" s="193">
        <f>SUM(N32)/Q32</f>
        <v>19672.706471277845</v>
      </c>
    </row>
    <row r="40" spans="1:19" x14ac:dyDescent="0.2">
      <c r="D40" s="44"/>
      <c r="E40" s="196">
        <f>SUM(E3:E21,E23,E25:E31)</f>
        <v>0</v>
      </c>
      <c r="F40" s="200">
        <f>SUM(F3:F21,F23,F25:F31)</f>
        <v>0</v>
      </c>
      <c r="G40" s="200">
        <f>SUM(G3:G21,G23,G25:G31)</f>
        <v>0</v>
      </c>
      <c r="H40" s="200">
        <f>SUM(H3:H21,H23,H25:H31)</f>
        <v>0</v>
      </c>
      <c r="N40" s="196">
        <f>SUM(N3:N21,N23,N25:N31)</f>
        <v>16780818.619999997</v>
      </c>
      <c r="O40" s="200">
        <f>SUM(O3:O21,O23,O25:O31)</f>
        <v>1048</v>
      </c>
      <c r="P40" s="200">
        <f>SUM(P3:P21,P23,P25:P31)</f>
        <v>906</v>
      </c>
      <c r="Q40" s="200">
        <f>SUM(Q3:Q21,Q23,Q25:Q31)</f>
        <v>853</v>
      </c>
    </row>
    <row r="41" spans="1:19" x14ac:dyDescent="0.2">
      <c r="D41" s="44"/>
      <c r="E41" s="191">
        <f>SUM(E2:E31)</f>
        <v>0</v>
      </c>
      <c r="F41" s="121">
        <f>SUM(F2:F31)</f>
        <v>0</v>
      </c>
      <c r="G41" s="121">
        <f>SUM(G2:G31)</f>
        <v>0</v>
      </c>
      <c r="H41" s="121">
        <f>SUM(H2:H31)</f>
        <v>0</v>
      </c>
      <c r="N41" s="191">
        <f>SUM(N2:N31)</f>
        <v>33561637.240000002</v>
      </c>
      <c r="O41" s="121">
        <f>SUM(O2:O31)</f>
        <v>2096</v>
      </c>
      <c r="P41" s="121">
        <f>SUM(P2:P31)</f>
        <v>1812</v>
      </c>
      <c r="Q41" s="121">
        <f>SUM(Q2:Q31)</f>
        <v>1706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Arkusz30">
    <tabColor theme="0"/>
  </sheetPr>
  <dimension ref="A1:S42"/>
  <sheetViews>
    <sheetView zoomScale="80" zoomScaleNormal="80" workbookViewId="0">
      <selection activeCell="J2" sqref="J2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710937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195" t="s">
        <v>22</v>
      </c>
      <c r="B1" s="195" t="s">
        <v>23</v>
      </c>
      <c r="C1" s="195" t="s">
        <v>24</v>
      </c>
      <c r="D1" s="121" t="s">
        <v>25</v>
      </c>
      <c r="E1" s="193" t="s">
        <v>387</v>
      </c>
      <c r="F1" s="191" t="s">
        <v>388</v>
      </c>
      <c r="G1" s="191" t="s">
        <v>389</v>
      </c>
      <c r="H1" s="191" t="s">
        <v>390</v>
      </c>
      <c r="J1" s="195" t="s">
        <v>22</v>
      </c>
      <c r="K1" s="195" t="s">
        <v>23</v>
      </c>
      <c r="L1" s="195" t="s">
        <v>24</v>
      </c>
      <c r="M1" s="121" t="s">
        <v>25</v>
      </c>
      <c r="N1" s="193" t="s">
        <v>387</v>
      </c>
      <c r="O1" s="191" t="s">
        <v>388</v>
      </c>
      <c r="P1" s="191" t="s">
        <v>389</v>
      </c>
      <c r="Q1" s="191" t="s">
        <v>390</v>
      </c>
    </row>
    <row r="2" spans="1:19" ht="15" customHeight="1" x14ac:dyDescent="0.2">
      <c r="A2" s="195"/>
      <c r="B2" s="195"/>
      <c r="C2" s="195"/>
      <c r="D2" s="121"/>
      <c r="E2" s="191"/>
      <c r="F2" s="121"/>
      <c r="G2" s="121"/>
      <c r="H2" s="121"/>
      <c r="J2" s="195" t="s">
        <v>479</v>
      </c>
      <c r="K2" s="195" t="s">
        <v>26</v>
      </c>
      <c r="L2" s="195" t="s">
        <v>437</v>
      </c>
      <c r="M2" s="121" t="s">
        <v>27</v>
      </c>
      <c r="N2" s="196">
        <v>18427478.149999999</v>
      </c>
      <c r="O2" s="200">
        <v>1131</v>
      </c>
      <c r="P2" s="200">
        <v>913</v>
      </c>
      <c r="Q2" s="200">
        <v>745</v>
      </c>
      <c r="S2" s="44" t="s">
        <v>395</v>
      </c>
    </row>
    <row r="3" spans="1:19" x14ac:dyDescent="0.2">
      <c r="A3" s="195"/>
      <c r="B3" s="195"/>
      <c r="C3" s="195"/>
      <c r="D3" s="121"/>
      <c r="E3" s="191"/>
      <c r="F3" s="121"/>
      <c r="G3" s="121"/>
      <c r="H3" s="121"/>
      <c r="I3" s="186">
        <v>1</v>
      </c>
      <c r="J3" s="195" t="s">
        <v>479</v>
      </c>
      <c r="K3" s="195" t="s">
        <v>26</v>
      </c>
      <c r="L3" s="195" t="s">
        <v>437</v>
      </c>
      <c r="M3" s="121" t="s">
        <v>28</v>
      </c>
      <c r="N3" s="197">
        <v>3692090.78</v>
      </c>
      <c r="O3" s="198">
        <v>299</v>
      </c>
      <c r="P3" s="198">
        <v>213</v>
      </c>
      <c r="Q3" s="198">
        <v>187</v>
      </c>
      <c r="R3" s="186">
        <v>1</v>
      </c>
      <c r="S3" s="187" t="s">
        <v>396</v>
      </c>
    </row>
    <row r="4" spans="1:19" x14ac:dyDescent="0.2">
      <c r="A4" s="195"/>
      <c r="B4" s="195"/>
      <c r="C4" s="195"/>
      <c r="D4" s="121"/>
      <c r="E4" s="191"/>
      <c r="F4" s="121"/>
      <c r="G4" s="121"/>
      <c r="H4" s="121"/>
      <c r="I4" s="186">
        <v>2</v>
      </c>
      <c r="J4" s="195" t="s">
        <v>479</v>
      </c>
      <c r="K4" s="195" t="s">
        <v>26</v>
      </c>
      <c r="L4" s="195" t="s">
        <v>437</v>
      </c>
      <c r="M4" s="121" t="s">
        <v>29</v>
      </c>
      <c r="N4" s="197">
        <v>264195.76</v>
      </c>
      <c r="O4" s="198">
        <v>67</v>
      </c>
      <c r="P4" s="198">
        <v>37</v>
      </c>
      <c r="Q4" s="198">
        <v>15</v>
      </c>
      <c r="R4" s="186">
        <v>2</v>
      </c>
      <c r="S4" s="187" t="s">
        <v>397</v>
      </c>
    </row>
    <row r="5" spans="1:19" x14ac:dyDescent="0.2">
      <c r="A5" s="195"/>
      <c r="B5" s="195"/>
      <c r="C5" s="195"/>
      <c r="D5" s="121"/>
      <c r="E5" s="191"/>
      <c r="F5" s="121"/>
      <c r="G5" s="121"/>
      <c r="H5" s="121"/>
      <c r="I5" s="186">
        <v>3</v>
      </c>
      <c r="J5" s="195" t="s">
        <v>479</v>
      </c>
      <c r="K5" s="195" t="s">
        <v>26</v>
      </c>
      <c r="L5" s="195" t="s">
        <v>437</v>
      </c>
      <c r="M5" s="121" t="s">
        <v>30</v>
      </c>
      <c r="N5" s="197">
        <v>1494047.78</v>
      </c>
      <c r="O5" s="198">
        <v>221</v>
      </c>
      <c r="P5" s="198">
        <v>162</v>
      </c>
      <c r="Q5" s="198">
        <v>150</v>
      </c>
      <c r="R5" s="186">
        <v>3</v>
      </c>
      <c r="S5" s="187" t="s">
        <v>399</v>
      </c>
    </row>
    <row r="6" spans="1:19" x14ac:dyDescent="0.2">
      <c r="A6" s="195"/>
      <c r="B6" s="195"/>
      <c r="C6" s="195"/>
      <c r="D6" s="121"/>
      <c r="E6" s="191"/>
      <c r="F6" s="121"/>
      <c r="G6" s="121"/>
      <c r="H6" s="121"/>
      <c r="I6" s="186">
        <v>4</v>
      </c>
      <c r="J6" s="195" t="s">
        <v>479</v>
      </c>
      <c r="K6" s="195" t="s">
        <v>26</v>
      </c>
      <c r="L6" s="195" t="s">
        <v>437</v>
      </c>
      <c r="M6" s="121" t="s">
        <v>31</v>
      </c>
      <c r="N6" s="197">
        <v>1283528.3500000001</v>
      </c>
      <c r="O6" s="198">
        <v>77</v>
      </c>
      <c r="P6" s="198">
        <v>64</v>
      </c>
      <c r="Q6" s="198">
        <v>61</v>
      </c>
      <c r="R6" s="186">
        <v>4</v>
      </c>
      <c r="S6" s="187" t="s">
        <v>398</v>
      </c>
    </row>
    <row r="7" spans="1:19" x14ac:dyDescent="0.2">
      <c r="A7" s="195"/>
      <c r="B7" s="195"/>
      <c r="C7" s="195"/>
      <c r="D7" s="121"/>
      <c r="E7" s="191"/>
      <c r="F7" s="121"/>
      <c r="G7" s="121"/>
      <c r="H7" s="121"/>
      <c r="I7" s="189" t="s">
        <v>417</v>
      </c>
      <c r="J7" s="195" t="s">
        <v>479</v>
      </c>
      <c r="K7" s="195" t="s">
        <v>26</v>
      </c>
      <c r="L7" s="195" t="s">
        <v>437</v>
      </c>
      <c r="M7" s="121" t="s">
        <v>32</v>
      </c>
      <c r="N7" s="199">
        <v>110356.32</v>
      </c>
      <c r="O7" s="198">
        <v>67</v>
      </c>
      <c r="P7" s="198">
        <v>58</v>
      </c>
      <c r="Q7" s="198">
        <v>5</v>
      </c>
      <c r="R7" s="189" t="s">
        <v>417</v>
      </c>
      <c r="S7" s="187" t="s">
        <v>400</v>
      </c>
    </row>
    <row r="8" spans="1:19" x14ac:dyDescent="0.2">
      <c r="A8" s="195"/>
      <c r="B8" s="195"/>
      <c r="C8" s="195"/>
      <c r="D8" s="121"/>
      <c r="E8" s="191"/>
      <c r="F8" s="121"/>
      <c r="G8" s="121"/>
      <c r="H8" s="121"/>
      <c r="I8" s="121"/>
      <c r="J8" s="195" t="s">
        <v>479</v>
      </c>
      <c r="K8" s="195" t="s">
        <v>26</v>
      </c>
      <c r="L8" s="195" t="s">
        <v>437</v>
      </c>
      <c r="M8" s="121" t="s">
        <v>33</v>
      </c>
      <c r="N8" s="196">
        <v>0</v>
      </c>
      <c r="O8" s="200">
        <v>0</v>
      </c>
      <c r="P8" s="200">
        <v>0</v>
      </c>
      <c r="Q8" s="200">
        <v>0</v>
      </c>
      <c r="R8" s="121"/>
      <c r="S8" s="44" t="s">
        <v>401</v>
      </c>
    </row>
    <row r="9" spans="1:19" x14ac:dyDescent="0.2">
      <c r="A9" s="195"/>
      <c r="B9" s="195"/>
      <c r="C9" s="195"/>
      <c r="D9" s="121"/>
      <c r="E9" s="191"/>
      <c r="F9" s="121"/>
      <c r="G9" s="121"/>
      <c r="H9" s="121"/>
      <c r="I9" s="121"/>
      <c r="J9" s="195" t="s">
        <v>479</v>
      </c>
      <c r="K9" s="195" t="s">
        <v>26</v>
      </c>
      <c r="L9" s="195" t="s">
        <v>437</v>
      </c>
      <c r="M9" s="121" t="s">
        <v>34</v>
      </c>
      <c r="N9" s="196">
        <v>0</v>
      </c>
      <c r="O9" s="200">
        <v>0</v>
      </c>
      <c r="P9" s="200">
        <v>0</v>
      </c>
      <c r="Q9" s="200">
        <v>0</v>
      </c>
      <c r="R9" s="121"/>
      <c r="S9" s="44" t="s">
        <v>6</v>
      </c>
    </row>
    <row r="10" spans="1:19" ht="15" customHeight="1" x14ac:dyDescent="0.2">
      <c r="A10" s="195"/>
      <c r="B10" s="195"/>
      <c r="C10" s="195"/>
      <c r="D10" s="121"/>
      <c r="E10" s="191"/>
      <c r="F10" s="121"/>
      <c r="G10" s="121"/>
      <c r="H10" s="121"/>
      <c r="I10" s="121"/>
      <c r="J10" s="195" t="s">
        <v>479</v>
      </c>
      <c r="K10" s="195" t="s">
        <v>26</v>
      </c>
      <c r="L10" s="195" t="s">
        <v>437</v>
      </c>
      <c r="M10" s="121" t="s">
        <v>35</v>
      </c>
      <c r="N10" s="196">
        <v>0</v>
      </c>
      <c r="O10" s="200">
        <v>0</v>
      </c>
      <c r="P10" s="200">
        <v>0</v>
      </c>
      <c r="Q10" s="200">
        <v>0</v>
      </c>
      <c r="R10" s="121"/>
      <c r="S10" s="44" t="s">
        <v>402</v>
      </c>
    </row>
    <row r="11" spans="1:19" ht="15" customHeight="1" x14ac:dyDescent="0.2">
      <c r="A11" s="195"/>
      <c r="B11" s="195"/>
      <c r="C11" s="195"/>
      <c r="D11" s="121"/>
      <c r="E11" s="191"/>
      <c r="F11" s="121"/>
      <c r="G11" s="121"/>
      <c r="H11" s="121"/>
      <c r="I11" s="121"/>
      <c r="J11" s="195" t="s">
        <v>479</v>
      </c>
      <c r="K11" s="195" t="s">
        <v>26</v>
      </c>
      <c r="L11" s="195" t="s">
        <v>437</v>
      </c>
      <c r="M11" s="121" t="s">
        <v>36</v>
      </c>
      <c r="N11" s="196">
        <v>0</v>
      </c>
      <c r="O11" s="200">
        <v>0</v>
      </c>
      <c r="P11" s="200">
        <v>0</v>
      </c>
      <c r="Q11" s="200">
        <v>0</v>
      </c>
      <c r="R11" s="121"/>
      <c r="S11" s="44" t="s">
        <v>8</v>
      </c>
    </row>
    <row r="12" spans="1:19" x14ac:dyDescent="0.2">
      <c r="A12" s="195"/>
      <c r="B12" s="195"/>
      <c r="C12" s="195"/>
      <c r="D12" s="121"/>
      <c r="E12" s="191"/>
      <c r="F12" s="121"/>
      <c r="G12" s="121"/>
      <c r="H12" s="121"/>
      <c r="I12" s="121"/>
      <c r="J12" s="195" t="s">
        <v>479</v>
      </c>
      <c r="K12" s="195" t="s">
        <v>26</v>
      </c>
      <c r="L12" s="195" t="s">
        <v>437</v>
      </c>
      <c r="M12" s="121" t="s">
        <v>37</v>
      </c>
      <c r="N12" s="196">
        <v>0</v>
      </c>
      <c r="O12" s="200">
        <v>0</v>
      </c>
      <c r="P12" s="200">
        <v>0</v>
      </c>
      <c r="Q12" s="200">
        <v>0</v>
      </c>
      <c r="R12" s="121"/>
      <c r="S12" s="44" t="s">
        <v>403</v>
      </c>
    </row>
    <row r="13" spans="1:19" x14ac:dyDescent="0.2">
      <c r="A13" s="195"/>
      <c r="B13" s="195"/>
      <c r="C13" s="195"/>
      <c r="D13" s="121"/>
      <c r="E13" s="191"/>
      <c r="F13" s="121"/>
      <c r="G13" s="121"/>
      <c r="H13" s="121"/>
      <c r="I13" s="189" t="s">
        <v>419</v>
      </c>
      <c r="J13" s="195" t="s">
        <v>479</v>
      </c>
      <c r="K13" s="195" t="s">
        <v>26</v>
      </c>
      <c r="L13" s="195" t="s">
        <v>437</v>
      </c>
      <c r="M13" s="121" t="s">
        <v>26</v>
      </c>
      <c r="N13" s="199">
        <v>0</v>
      </c>
      <c r="O13" s="198">
        <v>0</v>
      </c>
      <c r="P13" s="198">
        <v>0</v>
      </c>
      <c r="Q13" s="198">
        <v>0</v>
      </c>
      <c r="R13" s="189" t="s">
        <v>419</v>
      </c>
      <c r="S13" s="187" t="s">
        <v>9</v>
      </c>
    </row>
    <row r="14" spans="1:19" ht="15" customHeight="1" x14ac:dyDescent="0.2">
      <c r="A14" s="195"/>
      <c r="B14" s="195"/>
      <c r="C14" s="195"/>
      <c r="D14" s="121"/>
      <c r="E14" s="191"/>
      <c r="F14" s="121"/>
      <c r="G14" s="121"/>
      <c r="H14" s="121"/>
      <c r="I14" s="121"/>
      <c r="J14" s="195" t="s">
        <v>479</v>
      </c>
      <c r="K14" s="195" t="s">
        <v>26</v>
      </c>
      <c r="L14" s="195" t="s">
        <v>437</v>
      </c>
      <c r="M14" s="121" t="s">
        <v>38</v>
      </c>
      <c r="N14" s="196">
        <v>0</v>
      </c>
      <c r="O14" s="200">
        <v>0</v>
      </c>
      <c r="P14" s="200">
        <v>0</v>
      </c>
      <c r="Q14" s="200">
        <v>0</v>
      </c>
      <c r="R14" s="121"/>
      <c r="S14" s="44" t="s">
        <v>404</v>
      </c>
    </row>
    <row r="15" spans="1:19" ht="15" customHeight="1" x14ac:dyDescent="0.2">
      <c r="A15" s="195"/>
      <c r="B15" s="195"/>
      <c r="C15" s="195"/>
      <c r="D15" s="121"/>
      <c r="E15" s="191"/>
      <c r="F15" s="121"/>
      <c r="G15" s="121"/>
      <c r="H15" s="121"/>
      <c r="I15" s="189" t="s">
        <v>51</v>
      </c>
      <c r="J15" s="195" t="s">
        <v>479</v>
      </c>
      <c r="K15" s="195" t="s">
        <v>26</v>
      </c>
      <c r="L15" s="195" t="s">
        <v>437</v>
      </c>
      <c r="M15" s="121" t="s">
        <v>39</v>
      </c>
      <c r="N15" s="199">
        <v>600818.73</v>
      </c>
      <c r="O15" s="198">
        <v>51</v>
      </c>
      <c r="P15" s="198">
        <v>44</v>
      </c>
      <c r="Q15" s="198">
        <v>37</v>
      </c>
      <c r="R15" s="189" t="s">
        <v>51</v>
      </c>
      <c r="S15" s="187" t="s">
        <v>11</v>
      </c>
    </row>
    <row r="16" spans="1:19" x14ac:dyDescent="0.2">
      <c r="A16" s="195"/>
      <c r="B16" s="195"/>
      <c r="C16" s="195"/>
      <c r="D16" s="121"/>
      <c r="E16" s="191"/>
      <c r="F16" s="121"/>
      <c r="G16" s="121"/>
      <c r="H16" s="121"/>
      <c r="I16" s="189" t="s">
        <v>418</v>
      </c>
      <c r="J16" s="195" t="s">
        <v>479</v>
      </c>
      <c r="K16" s="195" t="s">
        <v>26</v>
      </c>
      <c r="L16" s="195" t="s">
        <v>437</v>
      </c>
      <c r="M16" s="121" t="s">
        <v>40</v>
      </c>
      <c r="N16" s="199">
        <v>799860.99</v>
      </c>
      <c r="O16" s="198">
        <v>53</v>
      </c>
      <c r="P16" s="198">
        <v>30</v>
      </c>
      <c r="Q16" s="198">
        <v>21</v>
      </c>
      <c r="R16" s="189" t="s">
        <v>418</v>
      </c>
      <c r="S16" s="187" t="s">
        <v>405</v>
      </c>
    </row>
    <row r="17" spans="1:19" x14ac:dyDescent="0.2">
      <c r="A17" s="195"/>
      <c r="B17" s="195"/>
      <c r="C17" s="195"/>
      <c r="D17" s="121"/>
      <c r="E17" s="191"/>
      <c r="F17" s="121"/>
      <c r="G17" s="121"/>
      <c r="H17" s="121"/>
      <c r="I17" s="121"/>
      <c r="J17" s="195" t="s">
        <v>479</v>
      </c>
      <c r="K17" s="195" t="s">
        <v>26</v>
      </c>
      <c r="L17" s="195" t="s">
        <v>437</v>
      </c>
      <c r="M17" s="121" t="s">
        <v>41</v>
      </c>
      <c r="N17" s="196">
        <v>0</v>
      </c>
      <c r="O17" s="200">
        <v>0</v>
      </c>
      <c r="P17" s="200">
        <v>0</v>
      </c>
      <c r="Q17" s="200">
        <v>0</v>
      </c>
      <c r="R17" s="121"/>
      <c r="S17" s="44" t="s">
        <v>406</v>
      </c>
    </row>
    <row r="18" spans="1:19" ht="15" customHeight="1" x14ac:dyDescent="0.2">
      <c r="A18" s="195"/>
      <c r="B18" s="195"/>
      <c r="C18" s="195"/>
      <c r="D18" s="121"/>
      <c r="E18" s="191"/>
      <c r="F18" s="121"/>
      <c r="G18" s="121"/>
      <c r="H18" s="121"/>
      <c r="I18" s="189" t="s">
        <v>420</v>
      </c>
      <c r="J18" s="195" t="s">
        <v>479</v>
      </c>
      <c r="K18" s="195" t="s">
        <v>26</v>
      </c>
      <c r="L18" s="195" t="s">
        <v>437</v>
      </c>
      <c r="M18" s="121" t="s">
        <v>42</v>
      </c>
      <c r="N18" s="199">
        <v>0</v>
      </c>
      <c r="O18" s="198">
        <v>0</v>
      </c>
      <c r="P18" s="198">
        <v>0</v>
      </c>
      <c r="Q18" s="198">
        <v>0</v>
      </c>
      <c r="R18" s="189" t="s">
        <v>420</v>
      </c>
      <c r="S18" s="187" t="s">
        <v>376</v>
      </c>
    </row>
    <row r="19" spans="1:19" ht="15" customHeight="1" x14ac:dyDescent="0.2">
      <c r="A19" s="195"/>
      <c r="B19" s="195"/>
      <c r="C19" s="195"/>
      <c r="D19" s="121"/>
      <c r="E19" s="191"/>
      <c r="F19" s="121"/>
      <c r="G19" s="121"/>
      <c r="H19" s="121"/>
      <c r="I19" s="189" t="s">
        <v>416</v>
      </c>
      <c r="J19" s="195" t="s">
        <v>479</v>
      </c>
      <c r="K19" s="195" t="s">
        <v>26</v>
      </c>
      <c r="L19" s="195" t="s">
        <v>437</v>
      </c>
      <c r="M19" s="121" t="s">
        <v>43</v>
      </c>
      <c r="N19" s="199">
        <v>52499.06</v>
      </c>
      <c r="O19" s="198">
        <v>11</v>
      </c>
      <c r="P19" s="198">
        <v>10</v>
      </c>
      <c r="Q19" s="198">
        <v>3</v>
      </c>
      <c r="R19" s="189" t="s">
        <v>416</v>
      </c>
      <c r="S19" s="187" t="s">
        <v>377</v>
      </c>
    </row>
    <row r="20" spans="1:19" x14ac:dyDescent="0.2">
      <c r="A20" s="195"/>
      <c r="B20" s="195"/>
      <c r="C20" s="195"/>
      <c r="D20" s="121"/>
      <c r="E20" s="191"/>
      <c r="F20" s="121"/>
      <c r="G20" s="121"/>
      <c r="H20" s="121"/>
      <c r="I20" s="121"/>
      <c r="J20" s="195" t="s">
        <v>479</v>
      </c>
      <c r="K20" s="195" t="s">
        <v>26</v>
      </c>
      <c r="L20" s="195" t="s">
        <v>437</v>
      </c>
      <c r="M20" s="121" t="s">
        <v>44</v>
      </c>
      <c r="N20" s="196">
        <v>0</v>
      </c>
      <c r="O20" s="200">
        <v>0</v>
      </c>
      <c r="P20" s="200">
        <v>0</v>
      </c>
      <c r="Q20" s="200">
        <v>0</v>
      </c>
      <c r="R20" s="121"/>
      <c r="S20" s="44" t="s">
        <v>15</v>
      </c>
    </row>
    <row r="21" spans="1:19" x14ac:dyDescent="0.2">
      <c r="A21" s="195"/>
      <c r="B21" s="195"/>
      <c r="C21" s="195"/>
      <c r="D21" s="121"/>
      <c r="E21" s="191"/>
      <c r="F21" s="121"/>
      <c r="G21" s="121"/>
      <c r="H21" s="121"/>
      <c r="I21" s="186">
        <v>6</v>
      </c>
      <c r="J21" s="195" t="s">
        <v>479</v>
      </c>
      <c r="K21" s="195" t="s">
        <v>26</v>
      </c>
      <c r="L21" s="195" t="s">
        <v>437</v>
      </c>
      <c r="M21" s="121" t="s">
        <v>45</v>
      </c>
      <c r="N21" s="197">
        <v>3866285.39</v>
      </c>
      <c r="O21" s="198">
        <v>115</v>
      </c>
      <c r="P21" s="198">
        <v>109</v>
      </c>
      <c r="Q21" s="198">
        <v>106</v>
      </c>
      <c r="R21" s="186">
        <v>6</v>
      </c>
      <c r="S21" s="187" t="s">
        <v>16</v>
      </c>
    </row>
    <row r="22" spans="1:19" x14ac:dyDescent="0.2">
      <c r="A22" s="195"/>
      <c r="B22" s="195"/>
      <c r="C22" s="195"/>
      <c r="D22" s="121"/>
      <c r="E22" s="191"/>
      <c r="F22" s="121"/>
      <c r="G22" s="121"/>
      <c r="H22" s="121"/>
      <c r="I22" s="121"/>
      <c r="J22" s="195" t="s">
        <v>479</v>
      </c>
      <c r="K22" s="195" t="s">
        <v>26</v>
      </c>
      <c r="L22" s="195" t="s">
        <v>437</v>
      </c>
      <c r="M22" s="121" t="s">
        <v>46</v>
      </c>
      <c r="N22" s="196">
        <v>0</v>
      </c>
      <c r="O22" s="200">
        <v>0</v>
      </c>
      <c r="P22" s="200">
        <v>0</v>
      </c>
      <c r="Q22" s="200">
        <v>0</v>
      </c>
      <c r="R22" s="121"/>
      <c r="S22" s="44" t="s">
        <v>407</v>
      </c>
    </row>
    <row r="23" spans="1:19" ht="15" customHeight="1" x14ac:dyDescent="0.2">
      <c r="A23" s="195"/>
      <c r="B23" s="195"/>
      <c r="C23" s="195"/>
      <c r="D23" s="121"/>
      <c r="E23" s="191"/>
      <c r="F23" s="121"/>
      <c r="G23" s="121"/>
      <c r="H23" s="121"/>
      <c r="I23" s="186">
        <v>5</v>
      </c>
      <c r="J23" s="195" t="s">
        <v>479</v>
      </c>
      <c r="K23" s="195" t="s">
        <v>26</v>
      </c>
      <c r="L23" s="195" t="s">
        <v>437</v>
      </c>
      <c r="M23" s="121" t="s">
        <v>47</v>
      </c>
      <c r="N23" s="197">
        <v>6263794.9900000002</v>
      </c>
      <c r="O23" s="198">
        <v>170</v>
      </c>
      <c r="P23" s="198">
        <v>186</v>
      </c>
      <c r="Q23" s="198">
        <v>160</v>
      </c>
      <c r="R23" s="186">
        <v>5</v>
      </c>
      <c r="S23" s="187" t="s">
        <v>17</v>
      </c>
    </row>
    <row r="24" spans="1:19" ht="15" customHeight="1" x14ac:dyDescent="0.2">
      <c r="A24" s="195"/>
      <c r="B24" s="195"/>
      <c r="C24" s="195"/>
      <c r="D24" s="121"/>
      <c r="E24" s="191"/>
      <c r="F24" s="121"/>
      <c r="G24" s="121"/>
      <c r="H24" s="121"/>
      <c r="I24" s="45"/>
      <c r="J24" s="195" t="s">
        <v>479</v>
      </c>
      <c r="K24" s="195" t="s">
        <v>26</v>
      </c>
      <c r="L24" s="195" t="s">
        <v>437</v>
      </c>
      <c r="M24" s="121" t="s">
        <v>48</v>
      </c>
      <c r="N24" s="196">
        <v>0</v>
      </c>
      <c r="O24" s="200">
        <v>0</v>
      </c>
      <c r="P24" s="200">
        <v>0</v>
      </c>
      <c r="Q24" s="200">
        <v>0</v>
      </c>
      <c r="S24" s="44" t="s">
        <v>407</v>
      </c>
    </row>
    <row r="25" spans="1:19" ht="15" customHeight="1" x14ac:dyDescent="0.2">
      <c r="A25" s="195"/>
      <c r="B25" s="195"/>
      <c r="C25" s="195"/>
      <c r="D25" s="121"/>
      <c r="E25" s="191"/>
      <c r="F25" s="121"/>
      <c r="G25" s="121"/>
      <c r="H25" s="121"/>
      <c r="I25" s="45"/>
      <c r="J25" s="195" t="s">
        <v>479</v>
      </c>
      <c r="K25" s="195" t="s">
        <v>26</v>
      </c>
      <c r="L25" s="195" t="s">
        <v>437</v>
      </c>
      <c r="M25" s="121" t="s">
        <v>319</v>
      </c>
      <c r="N25" s="196">
        <v>0</v>
      </c>
      <c r="O25" s="200">
        <v>0</v>
      </c>
      <c r="P25" s="200">
        <v>0</v>
      </c>
      <c r="Q25" s="200">
        <v>0</v>
      </c>
      <c r="S25" s="44" t="s">
        <v>18</v>
      </c>
    </row>
    <row r="26" spans="1:19" ht="15" customHeight="1" x14ac:dyDescent="0.2">
      <c r="A26" s="195"/>
      <c r="B26" s="195"/>
      <c r="C26" s="195"/>
      <c r="D26" s="121"/>
      <c r="E26" s="191"/>
      <c r="F26" s="121"/>
      <c r="G26" s="121"/>
      <c r="H26" s="121"/>
      <c r="I26" s="190" t="s">
        <v>421</v>
      </c>
      <c r="J26" s="195" t="s">
        <v>479</v>
      </c>
      <c r="K26" s="195" t="s">
        <v>26</v>
      </c>
      <c r="L26" s="195" t="s">
        <v>437</v>
      </c>
      <c r="M26" s="121" t="s">
        <v>320</v>
      </c>
      <c r="N26" s="199">
        <v>0</v>
      </c>
      <c r="O26" s="198">
        <v>0</v>
      </c>
      <c r="P26" s="198">
        <v>0</v>
      </c>
      <c r="Q26" s="198">
        <v>0</v>
      </c>
      <c r="R26" s="190" t="s">
        <v>421</v>
      </c>
      <c r="S26" s="187" t="s">
        <v>358</v>
      </c>
    </row>
    <row r="27" spans="1:19" x14ac:dyDescent="0.2">
      <c r="A27" s="195"/>
      <c r="B27" s="195"/>
      <c r="C27" s="195"/>
      <c r="D27" s="121"/>
      <c r="E27" s="191"/>
      <c r="F27" s="121"/>
      <c r="G27" s="121"/>
      <c r="H27" s="121"/>
      <c r="I27" s="190" t="s">
        <v>415</v>
      </c>
      <c r="J27" s="195" t="s">
        <v>479</v>
      </c>
      <c r="K27" s="195" t="s">
        <v>26</v>
      </c>
      <c r="L27" s="195" t="s">
        <v>437</v>
      </c>
      <c r="M27" s="121" t="s">
        <v>321</v>
      </c>
      <c r="N27" s="199">
        <v>0</v>
      </c>
      <c r="O27" s="198">
        <v>0</v>
      </c>
      <c r="P27" s="198">
        <v>0</v>
      </c>
      <c r="Q27" s="198">
        <v>0</v>
      </c>
      <c r="R27" s="190" t="s">
        <v>415</v>
      </c>
      <c r="S27" s="187" t="s">
        <v>408</v>
      </c>
    </row>
    <row r="28" spans="1:19" x14ac:dyDescent="0.2">
      <c r="A28" s="195"/>
      <c r="B28" s="195"/>
      <c r="C28" s="195"/>
      <c r="D28" s="121"/>
      <c r="E28" s="191"/>
      <c r="F28" s="121"/>
      <c r="G28" s="121"/>
      <c r="H28" s="121"/>
      <c r="J28" s="195" t="s">
        <v>479</v>
      </c>
      <c r="K28" s="195" t="s">
        <v>26</v>
      </c>
      <c r="L28" s="195" t="s">
        <v>437</v>
      </c>
      <c r="M28" s="121" t="s">
        <v>322</v>
      </c>
      <c r="N28" s="196">
        <v>0</v>
      </c>
      <c r="O28" s="200">
        <v>0</v>
      </c>
      <c r="P28" s="200">
        <v>0</v>
      </c>
      <c r="Q28" s="200">
        <v>0</v>
      </c>
      <c r="S28" s="44" t="s">
        <v>215</v>
      </c>
    </row>
    <row r="29" spans="1:19" x14ac:dyDescent="0.2">
      <c r="A29" s="195"/>
      <c r="B29" s="195"/>
      <c r="C29" s="195"/>
      <c r="D29" s="121"/>
      <c r="E29" s="191"/>
      <c r="F29" s="121"/>
      <c r="G29" s="121"/>
      <c r="H29" s="121"/>
      <c r="J29" s="195" t="s">
        <v>479</v>
      </c>
      <c r="K29" s="195" t="s">
        <v>26</v>
      </c>
      <c r="L29" s="195" t="s">
        <v>437</v>
      </c>
      <c r="M29" s="121" t="s">
        <v>391</v>
      </c>
      <c r="N29" s="196">
        <v>0</v>
      </c>
      <c r="O29" s="200">
        <v>0</v>
      </c>
      <c r="P29" s="200">
        <v>0</v>
      </c>
      <c r="Q29" s="200">
        <v>0</v>
      </c>
      <c r="S29" s="44" t="s">
        <v>409</v>
      </c>
    </row>
    <row r="30" spans="1:19" ht="15" customHeight="1" x14ac:dyDescent="0.2">
      <c r="A30" s="195"/>
      <c r="B30" s="195"/>
      <c r="C30" s="195"/>
      <c r="D30" s="121"/>
      <c r="E30" s="191"/>
      <c r="F30" s="121"/>
      <c r="G30" s="121"/>
      <c r="H30" s="121"/>
      <c r="J30" s="195" t="s">
        <v>479</v>
      </c>
      <c r="K30" s="195" t="s">
        <v>26</v>
      </c>
      <c r="L30" s="195" t="s">
        <v>437</v>
      </c>
      <c r="M30" s="121" t="s">
        <v>392</v>
      </c>
      <c r="N30" s="196">
        <v>0</v>
      </c>
      <c r="O30" s="200">
        <v>0</v>
      </c>
      <c r="P30" s="200">
        <v>0</v>
      </c>
      <c r="Q30" s="200">
        <v>0</v>
      </c>
      <c r="S30" s="44" t="s">
        <v>410</v>
      </c>
    </row>
    <row r="31" spans="1:19" x14ac:dyDescent="0.2">
      <c r="A31" s="195"/>
      <c r="B31" s="195"/>
      <c r="C31" s="195"/>
      <c r="D31" s="121"/>
      <c r="E31" s="191"/>
      <c r="F31" s="121"/>
      <c r="G31" s="121"/>
      <c r="H31" s="121"/>
      <c r="J31" s="195" t="s">
        <v>479</v>
      </c>
      <c r="K31" s="195" t="s">
        <v>26</v>
      </c>
      <c r="L31" s="195" t="s">
        <v>437</v>
      </c>
      <c r="M31" s="121" t="s">
        <v>393</v>
      </c>
      <c r="N31" s="196">
        <v>0</v>
      </c>
      <c r="O31" s="200">
        <v>0</v>
      </c>
      <c r="P31" s="200">
        <v>0</v>
      </c>
      <c r="Q31" s="200">
        <v>0</v>
      </c>
      <c r="S31" s="44" t="s">
        <v>411</v>
      </c>
    </row>
    <row r="32" spans="1:19" x14ac:dyDescent="0.2">
      <c r="A32" s="195"/>
      <c r="B32" s="195"/>
      <c r="C32" s="195"/>
      <c r="D32" s="201"/>
      <c r="E32" s="202"/>
      <c r="F32" s="201"/>
      <c r="G32" s="201"/>
      <c r="H32" s="201"/>
      <c r="J32" s="195" t="s">
        <v>479</v>
      </c>
      <c r="K32" s="195" t="s">
        <v>26</v>
      </c>
      <c r="L32" s="195" t="s">
        <v>437</v>
      </c>
      <c r="M32" s="201" t="s">
        <v>394</v>
      </c>
      <c r="N32" s="203">
        <v>36854956.299999997</v>
      </c>
      <c r="O32" s="204">
        <v>2262</v>
      </c>
      <c r="P32" s="204">
        <v>1826</v>
      </c>
      <c r="Q32" s="204">
        <v>1490</v>
      </c>
      <c r="S32" s="185" t="s">
        <v>412</v>
      </c>
    </row>
    <row r="33" spans="1:19" x14ac:dyDescent="0.2">
      <c r="A33" s="195"/>
      <c r="B33" s="195"/>
      <c r="C33" s="195"/>
      <c r="D33" s="121"/>
      <c r="E33" s="191"/>
      <c r="F33" s="121"/>
      <c r="G33" s="121"/>
      <c r="H33" s="121"/>
      <c r="J33" s="195" t="s">
        <v>479</v>
      </c>
      <c r="K33" s="195" t="s">
        <v>26</v>
      </c>
      <c r="L33" s="195" t="s">
        <v>437</v>
      </c>
      <c r="M33" s="121" t="s">
        <v>49</v>
      </c>
      <c r="N33" s="196">
        <v>0</v>
      </c>
      <c r="O33" s="200">
        <v>0</v>
      </c>
      <c r="P33" s="200">
        <v>0</v>
      </c>
      <c r="Q33" s="200">
        <v>0</v>
      </c>
      <c r="S33" s="44" t="s">
        <v>413</v>
      </c>
    </row>
    <row r="34" spans="1:19" x14ac:dyDescent="0.2">
      <c r="A34" s="195"/>
      <c r="B34" s="195"/>
      <c r="C34" s="195"/>
      <c r="D34" s="121"/>
      <c r="E34" s="191"/>
      <c r="F34" s="121"/>
      <c r="G34" s="121"/>
      <c r="H34" s="121"/>
      <c r="J34" s="195" t="s">
        <v>479</v>
      </c>
      <c r="K34" s="195" t="s">
        <v>26</v>
      </c>
      <c r="L34" s="195" t="s">
        <v>437</v>
      </c>
      <c r="M34" s="121" t="s">
        <v>50</v>
      </c>
      <c r="N34" s="196">
        <v>0</v>
      </c>
      <c r="O34" s="200">
        <v>0</v>
      </c>
      <c r="P34" s="200">
        <v>0</v>
      </c>
      <c r="Q34" s="200">
        <v>0</v>
      </c>
      <c r="S34" s="44" t="s">
        <v>414</v>
      </c>
    </row>
    <row r="35" spans="1:19" x14ac:dyDescent="0.2">
      <c r="D35" s="188" t="s">
        <v>89</v>
      </c>
      <c r="E35" s="192">
        <f>SUM(E3:E6,E21,E23)</f>
        <v>0</v>
      </c>
      <c r="F35" s="186">
        <f>SUM(F3:F6,F21,F23)</f>
        <v>0</v>
      </c>
      <c r="G35" s="186">
        <f>SUM(G3:G6,G21,G23)</f>
        <v>0</v>
      </c>
      <c r="H35" s="186">
        <f>SUM(H3:H6,H21,H23)</f>
        <v>0</v>
      </c>
      <c r="M35" s="188" t="s">
        <v>89</v>
      </c>
      <c r="N35" s="192">
        <f>SUM(N3:N6,N21,N23)</f>
        <v>16863943.050000001</v>
      </c>
      <c r="O35" s="186">
        <f>SUM(O3:O6,O21,O23)</f>
        <v>949</v>
      </c>
      <c r="P35" s="186">
        <f>SUM(P3:P6,P21,P23)</f>
        <v>771</v>
      </c>
      <c r="Q35" s="186">
        <f>SUM(Q3:Q6,Q21,Q23)</f>
        <v>679</v>
      </c>
    </row>
    <row r="36" spans="1:19" x14ac:dyDescent="0.2">
      <c r="D36" s="45" t="s">
        <v>99</v>
      </c>
      <c r="E36" s="94">
        <f>E3+E4+E5+E6+E21+E23</f>
        <v>0</v>
      </c>
      <c r="F36" s="121">
        <f>F3+F4+F5+F6+F21+F23</f>
        <v>0</v>
      </c>
      <c r="G36" s="121">
        <f>G3+G4+G5+G6+G21+G23</f>
        <v>0</v>
      </c>
      <c r="H36" s="121">
        <f>H3+H4+H5+H6+H21+H23</f>
        <v>0</v>
      </c>
      <c r="M36" s="45" t="s">
        <v>99</v>
      </c>
      <c r="N36" s="94">
        <f>N3+N4+N5+N6+N21+N23</f>
        <v>16863943.050000001</v>
      </c>
      <c r="O36" s="121">
        <f>O3+O4+O5+O6+O21+O23</f>
        <v>949</v>
      </c>
      <c r="P36" s="121">
        <f>P3+P4+P5+P6+P21+P23</f>
        <v>771</v>
      </c>
      <c r="Q36" s="121">
        <f>Q3+Q4+Q5+Q6+Q21+Q23</f>
        <v>679</v>
      </c>
    </row>
    <row r="37" spans="1:19" x14ac:dyDescent="0.2">
      <c r="D37" s="188" t="s">
        <v>272</v>
      </c>
      <c r="E37" s="192">
        <f>SUM(E3:E6,E15,E21,E23)</f>
        <v>0</v>
      </c>
      <c r="F37" s="186">
        <f>SUM(F3:F6,F15,F21,F23)</f>
        <v>0</v>
      </c>
      <c r="G37" s="186">
        <f>SUM(G3:G6,G15,G21,G23)</f>
        <v>0</v>
      </c>
      <c r="H37" s="186">
        <f>SUM(H3:H6,H15,H21,H23)</f>
        <v>0</v>
      </c>
      <c r="M37" s="188" t="s">
        <v>272</v>
      </c>
      <c r="N37" s="192">
        <f>SUM(N3:N6,N15,N21,N23)</f>
        <v>17464761.780000001</v>
      </c>
      <c r="O37" s="186">
        <f>SUM(O3:O6,O15,O21,O23)</f>
        <v>1000</v>
      </c>
      <c r="P37" s="186">
        <f>SUM(P3:P6,P15,P21,P23)</f>
        <v>815</v>
      </c>
      <c r="Q37" s="186">
        <f>SUM(Q3:Q6,Q15,Q21,Q23)</f>
        <v>716</v>
      </c>
    </row>
    <row r="38" spans="1:19" x14ac:dyDescent="0.2">
      <c r="D38" s="45" t="s">
        <v>99</v>
      </c>
      <c r="E38" s="94">
        <f>E3+E4+E5+E6+E15+E21+E23</f>
        <v>0</v>
      </c>
      <c r="F38" s="121">
        <f>F3+F4+F5+F6+F15+F21+F23</f>
        <v>0</v>
      </c>
      <c r="G38" s="121">
        <f>G3+G4+G5+G6+G15+G21+G23</f>
        <v>0</v>
      </c>
      <c r="H38" s="121">
        <f>H3+H4+H5+H6+H15+H21+H23</f>
        <v>0</v>
      </c>
      <c r="M38" s="45" t="s">
        <v>99</v>
      </c>
      <c r="N38" s="94">
        <f>N3+N4+N5+N6+N15+N21+N23</f>
        <v>17464761.780000001</v>
      </c>
      <c r="O38" s="121">
        <f>O3+O4+O5+O6+O15+O21+O23</f>
        <v>1000</v>
      </c>
      <c r="P38" s="121">
        <f>P3+P4+P5+P6+P15+P21+P23</f>
        <v>815</v>
      </c>
      <c r="Q38" s="121">
        <f>Q3+Q4+Q5+Q6+Q15+Q21+Q23</f>
        <v>716</v>
      </c>
    </row>
    <row r="39" spans="1:19" x14ac:dyDescent="0.2">
      <c r="D39" s="44"/>
      <c r="F39" s="45"/>
      <c r="G39" s="192" t="e">
        <f>SUM(H32)/G32*100</f>
        <v>#DIV/0!</v>
      </c>
      <c r="H39" s="193" t="e">
        <f>SUM(E32)/H32</f>
        <v>#DIV/0!</v>
      </c>
      <c r="P39" s="192">
        <f>SUM(Q32)/P32*100</f>
        <v>81.59912376779846</v>
      </c>
      <c r="Q39" s="193">
        <f>SUM(N32)/Q32</f>
        <v>24734.87</v>
      </c>
    </row>
    <row r="40" spans="1:19" x14ac:dyDescent="0.2">
      <c r="D40" s="44"/>
      <c r="E40" s="196">
        <f>SUM(E3:E21,E23,E25:E31)</f>
        <v>0</v>
      </c>
      <c r="F40" s="200">
        <f>SUM(F3:F21,F23,F25:F31)</f>
        <v>0</v>
      </c>
      <c r="G40" s="200">
        <f>SUM(G3:G21,G23,G25:G31)</f>
        <v>0</v>
      </c>
      <c r="H40" s="200">
        <f>SUM(H3:H21,H23,H25:H31)</f>
        <v>0</v>
      </c>
      <c r="N40" s="196">
        <f>SUM(N3:N21,N23,N25:N31)</f>
        <v>18427478.149999999</v>
      </c>
      <c r="O40" s="200">
        <f>SUM(O3:O21,O23,O25:O31)</f>
        <v>1131</v>
      </c>
      <c r="P40" s="200">
        <f>SUM(P3:P21,P23,P25:P31)</f>
        <v>913</v>
      </c>
      <c r="Q40" s="200">
        <f>SUM(Q3:Q21,Q23,Q25:Q31)</f>
        <v>745</v>
      </c>
    </row>
    <row r="41" spans="1:19" x14ac:dyDescent="0.2">
      <c r="D41" s="44"/>
      <c r="E41" s="191">
        <f>SUM(E2:E31)</f>
        <v>0</v>
      </c>
      <c r="F41" s="121">
        <f>SUM(F2:F31)</f>
        <v>0</v>
      </c>
      <c r="G41" s="121">
        <f>SUM(G2:G31)</f>
        <v>0</v>
      </c>
      <c r="H41" s="121">
        <f>SUM(H2:H31)</f>
        <v>0</v>
      </c>
      <c r="N41" s="191">
        <f>SUM(N2:N31)</f>
        <v>36854956.300000004</v>
      </c>
      <c r="O41" s="121">
        <f>SUM(O2:O31)</f>
        <v>2262</v>
      </c>
      <c r="P41" s="121">
        <f>SUM(P2:P31)</f>
        <v>1826</v>
      </c>
      <c r="Q41" s="121">
        <f>SUM(Q2:Q31)</f>
        <v>1490</v>
      </c>
    </row>
    <row r="42" spans="1:19" x14ac:dyDescent="0.2">
      <c r="H42" s="94" t="e">
        <f>SUM(H35/G35)*100</f>
        <v>#DIV/0!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Arkusz31">
    <tabColor theme="0"/>
  </sheetPr>
  <dimension ref="A1:S41"/>
  <sheetViews>
    <sheetView zoomScale="80" zoomScaleNormal="80" workbookViewId="0">
      <selection activeCell="A2" sqref="A2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195" t="s">
        <v>22</v>
      </c>
      <c r="B1" s="195" t="s">
        <v>23</v>
      </c>
      <c r="C1" s="195" t="s">
        <v>24</v>
      </c>
      <c r="D1" s="121" t="s">
        <v>25</v>
      </c>
      <c r="E1" s="193" t="s">
        <v>387</v>
      </c>
      <c r="F1" s="191" t="s">
        <v>388</v>
      </c>
      <c r="G1" s="191" t="s">
        <v>389</v>
      </c>
      <c r="H1" s="191" t="s">
        <v>390</v>
      </c>
      <c r="J1" s="195" t="s">
        <v>22</v>
      </c>
      <c r="K1" s="195" t="s">
        <v>23</v>
      </c>
      <c r="L1" s="195" t="s">
        <v>24</v>
      </c>
      <c r="M1" s="121" t="s">
        <v>25</v>
      </c>
      <c r="N1" s="193" t="s">
        <v>387</v>
      </c>
      <c r="O1" s="191" t="s">
        <v>388</v>
      </c>
      <c r="P1" s="191" t="s">
        <v>389</v>
      </c>
      <c r="Q1" s="191" t="s">
        <v>390</v>
      </c>
    </row>
    <row r="2" spans="1:19" ht="15" customHeight="1" x14ac:dyDescent="0.2">
      <c r="A2" s="195"/>
      <c r="B2" s="195"/>
      <c r="C2" s="195"/>
      <c r="D2" s="121"/>
      <c r="E2" s="191"/>
      <c r="F2" s="121"/>
      <c r="G2" s="121"/>
      <c r="H2" s="121"/>
      <c r="J2" s="195" t="s">
        <v>479</v>
      </c>
      <c r="K2" s="195" t="s">
        <v>26</v>
      </c>
      <c r="L2" s="195" t="s">
        <v>436</v>
      </c>
      <c r="M2" s="121" t="s">
        <v>27</v>
      </c>
      <c r="N2" s="196">
        <v>7318298.0099999998</v>
      </c>
      <c r="O2" s="200">
        <v>502</v>
      </c>
      <c r="P2" s="200">
        <v>380</v>
      </c>
      <c r="Q2" s="200">
        <v>331</v>
      </c>
      <c r="S2" s="44" t="s">
        <v>395</v>
      </c>
    </row>
    <row r="3" spans="1:19" x14ac:dyDescent="0.2">
      <c r="A3" s="195"/>
      <c r="B3" s="195"/>
      <c r="C3" s="195"/>
      <c r="D3" s="121"/>
      <c r="E3" s="191"/>
      <c r="F3" s="121"/>
      <c r="G3" s="121"/>
      <c r="H3" s="121"/>
      <c r="I3" s="186">
        <v>1</v>
      </c>
      <c r="J3" s="195" t="s">
        <v>479</v>
      </c>
      <c r="K3" s="195" t="s">
        <v>26</v>
      </c>
      <c r="L3" s="195" t="s">
        <v>436</v>
      </c>
      <c r="M3" s="121" t="s">
        <v>28</v>
      </c>
      <c r="N3" s="197">
        <v>2039914.92</v>
      </c>
      <c r="O3" s="198">
        <v>217</v>
      </c>
      <c r="P3" s="198">
        <v>111</v>
      </c>
      <c r="Q3" s="198">
        <v>97</v>
      </c>
      <c r="R3" s="186">
        <v>1</v>
      </c>
      <c r="S3" s="187" t="s">
        <v>396</v>
      </c>
    </row>
    <row r="4" spans="1:19" x14ac:dyDescent="0.2">
      <c r="A4" s="195"/>
      <c r="B4" s="195"/>
      <c r="C4" s="195"/>
      <c r="D4" s="121"/>
      <c r="E4" s="191"/>
      <c r="F4" s="121"/>
      <c r="G4" s="121"/>
      <c r="H4" s="121"/>
      <c r="I4" s="186">
        <v>2</v>
      </c>
      <c r="J4" s="195" t="s">
        <v>479</v>
      </c>
      <c r="K4" s="195" t="s">
        <v>26</v>
      </c>
      <c r="L4" s="195" t="s">
        <v>436</v>
      </c>
      <c r="M4" s="121" t="s">
        <v>29</v>
      </c>
      <c r="N4" s="197">
        <v>349572.22</v>
      </c>
      <c r="O4" s="198">
        <v>61</v>
      </c>
      <c r="P4" s="198">
        <v>50</v>
      </c>
      <c r="Q4" s="198">
        <v>20</v>
      </c>
      <c r="R4" s="186">
        <v>2</v>
      </c>
      <c r="S4" s="187" t="s">
        <v>397</v>
      </c>
    </row>
    <row r="5" spans="1:19" x14ac:dyDescent="0.2">
      <c r="A5" s="195"/>
      <c r="B5" s="195"/>
      <c r="C5" s="195"/>
      <c r="D5" s="121"/>
      <c r="E5" s="191"/>
      <c r="F5" s="121"/>
      <c r="G5" s="121"/>
      <c r="H5" s="121"/>
      <c r="I5" s="186">
        <v>3</v>
      </c>
      <c r="J5" s="195" t="s">
        <v>479</v>
      </c>
      <c r="K5" s="195" t="s">
        <v>26</v>
      </c>
      <c r="L5" s="195" t="s">
        <v>436</v>
      </c>
      <c r="M5" s="121" t="s">
        <v>30</v>
      </c>
      <c r="N5" s="197">
        <v>865088.08</v>
      </c>
      <c r="O5" s="198">
        <v>112</v>
      </c>
      <c r="P5" s="198">
        <v>93</v>
      </c>
      <c r="Q5" s="198">
        <v>90</v>
      </c>
      <c r="R5" s="186">
        <v>3</v>
      </c>
      <c r="S5" s="187" t="s">
        <v>399</v>
      </c>
    </row>
    <row r="6" spans="1:19" x14ac:dyDescent="0.2">
      <c r="A6" s="195"/>
      <c r="B6" s="195"/>
      <c r="C6" s="195"/>
      <c r="D6" s="121"/>
      <c r="E6" s="191"/>
      <c r="F6" s="121"/>
      <c r="G6" s="121"/>
      <c r="H6" s="121"/>
      <c r="I6" s="186">
        <v>4</v>
      </c>
      <c r="J6" s="195" t="s">
        <v>479</v>
      </c>
      <c r="K6" s="195" t="s">
        <v>26</v>
      </c>
      <c r="L6" s="195" t="s">
        <v>436</v>
      </c>
      <c r="M6" s="121" t="s">
        <v>31</v>
      </c>
      <c r="N6" s="197">
        <v>416919.3</v>
      </c>
      <c r="O6" s="198">
        <v>26</v>
      </c>
      <c r="P6" s="198">
        <v>17</v>
      </c>
      <c r="Q6" s="198">
        <v>16</v>
      </c>
      <c r="R6" s="186">
        <v>4</v>
      </c>
      <c r="S6" s="187" t="s">
        <v>398</v>
      </c>
    </row>
    <row r="7" spans="1:19" x14ac:dyDescent="0.2">
      <c r="A7" s="195"/>
      <c r="B7" s="195"/>
      <c r="C7" s="195"/>
      <c r="D7" s="121"/>
      <c r="E7" s="191"/>
      <c r="F7" s="121"/>
      <c r="G7" s="121"/>
      <c r="H7" s="121"/>
      <c r="I7" s="189" t="s">
        <v>417</v>
      </c>
      <c r="J7" s="195" t="s">
        <v>479</v>
      </c>
      <c r="K7" s="195" t="s">
        <v>26</v>
      </c>
      <c r="L7" s="195" t="s">
        <v>436</v>
      </c>
      <c r="M7" s="121" t="s">
        <v>32</v>
      </c>
      <c r="N7" s="199">
        <v>0</v>
      </c>
      <c r="O7" s="198">
        <v>0</v>
      </c>
      <c r="P7" s="198">
        <v>0</v>
      </c>
      <c r="Q7" s="198">
        <v>0</v>
      </c>
      <c r="R7" s="189" t="s">
        <v>417</v>
      </c>
      <c r="S7" s="187" t="s">
        <v>400</v>
      </c>
    </row>
    <row r="8" spans="1:19" x14ac:dyDescent="0.2">
      <c r="A8" s="195"/>
      <c r="B8" s="195"/>
      <c r="C8" s="195"/>
      <c r="D8" s="121"/>
      <c r="E8" s="191"/>
      <c r="F8" s="121"/>
      <c r="G8" s="121"/>
      <c r="H8" s="121"/>
      <c r="I8" s="121"/>
      <c r="J8" s="195" t="s">
        <v>479</v>
      </c>
      <c r="K8" s="195" t="s">
        <v>26</v>
      </c>
      <c r="L8" s="195" t="s">
        <v>436</v>
      </c>
      <c r="M8" s="121" t="s">
        <v>33</v>
      </c>
      <c r="N8" s="196">
        <v>0</v>
      </c>
      <c r="O8" s="200">
        <v>0</v>
      </c>
      <c r="P8" s="200">
        <v>0</v>
      </c>
      <c r="Q8" s="200">
        <v>0</v>
      </c>
      <c r="R8" s="121"/>
      <c r="S8" s="44" t="s">
        <v>401</v>
      </c>
    </row>
    <row r="9" spans="1:19" x14ac:dyDescent="0.2">
      <c r="A9" s="195"/>
      <c r="B9" s="195"/>
      <c r="C9" s="195"/>
      <c r="D9" s="121"/>
      <c r="E9" s="191"/>
      <c r="F9" s="121"/>
      <c r="G9" s="121"/>
      <c r="H9" s="121"/>
      <c r="I9" s="121"/>
      <c r="J9" s="195" t="s">
        <v>479</v>
      </c>
      <c r="K9" s="195" t="s">
        <v>26</v>
      </c>
      <c r="L9" s="195" t="s">
        <v>436</v>
      </c>
      <c r="M9" s="121" t="s">
        <v>34</v>
      </c>
      <c r="N9" s="196">
        <v>0</v>
      </c>
      <c r="O9" s="200">
        <v>0</v>
      </c>
      <c r="P9" s="200">
        <v>0</v>
      </c>
      <c r="Q9" s="200">
        <v>0</v>
      </c>
      <c r="R9" s="121"/>
      <c r="S9" s="44" t="s">
        <v>6</v>
      </c>
    </row>
    <row r="10" spans="1:19" ht="15" customHeight="1" x14ac:dyDescent="0.2">
      <c r="A10" s="195"/>
      <c r="B10" s="195"/>
      <c r="C10" s="195"/>
      <c r="D10" s="121"/>
      <c r="E10" s="191"/>
      <c r="F10" s="121"/>
      <c r="G10" s="121"/>
      <c r="H10" s="121"/>
      <c r="I10" s="121"/>
      <c r="J10" s="195" t="s">
        <v>479</v>
      </c>
      <c r="K10" s="195" t="s">
        <v>26</v>
      </c>
      <c r="L10" s="195" t="s">
        <v>436</v>
      </c>
      <c r="M10" s="121" t="s">
        <v>35</v>
      </c>
      <c r="N10" s="196">
        <v>0</v>
      </c>
      <c r="O10" s="200">
        <v>0</v>
      </c>
      <c r="P10" s="200">
        <v>0</v>
      </c>
      <c r="Q10" s="200">
        <v>0</v>
      </c>
      <c r="R10" s="121"/>
      <c r="S10" s="44" t="s">
        <v>402</v>
      </c>
    </row>
    <row r="11" spans="1:19" ht="15" customHeight="1" x14ac:dyDescent="0.2">
      <c r="A11" s="195"/>
      <c r="B11" s="195"/>
      <c r="C11" s="195"/>
      <c r="D11" s="121"/>
      <c r="E11" s="191"/>
      <c r="F11" s="121"/>
      <c r="G11" s="121"/>
      <c r="H11" s="121"/>
      <c r="I11" s="121"/>
      <c r="J11" s="195" t="s">
        <v>479</v>
      </c>
      <c r="K11" s="195" t="s">
        <v>26</v>
      </c>
      <c r="L11" s="195" t="s">
        <v>436</v>
      </c>
      <c r="M11" s="121" t="s">
        <v>36</v>
      </c>
      <c r="N11" s="196">
        <v>0</v>
      </c>
      <c r="O11" s="200">
        <v>0</v>
      </c>
      <c r="P11" s="200">
        <v>0</v>
      </c>
      <c r="Q11" s="200">
        <v>0</v>
      </c>
      <c r="R11" s="121"/>
      <c r="S11" s="44" t="s">
        <v>8</v>
      </c>
    </row>
    <row r="12" spans="1:19" x14ac:dyDescent="0.2">
      <c r="A12" s="195"/>
      <c r="B12" s="195"/>
      <c r="C12" s="195"/>
      <c r="D12" s="121"/>
      <c r="E12" s="191"/>
      <c r="F12" s="121"/>
      <c r="G12" s="121"/>
      <c r="H12" s="121"/>
      <c r="I12" s="121"/>
      <c r="J12" s="195" t="s">
        <v>479</v>
      </c>
      <c r="K12" s="195" t="s">
        <v>26</v>
      </c>
      <c r="L12" s="195" t="s">
        <v>436</v>
      </c>
      <c r="M12" s="121" t="s">
        <v>37</v>
      </c>
      <c r="N12" s="196">
        <v>0</v>
      </c>
      <c r="O12" s="200">
        <v>0</v>
      </c>
      <c r="P12" s="200">
        <v>0</v>
      </c>
      <c r="Q12" s="200">
        <v>0</v>
      </c>
      <c r="R12" s="121"/>
      <c r="S12" s="44" t="s">
        <v>403</v>
      </c>
    </row>
    <row r="13" spans="1:19" x14ac:dyDescent="0.2">
      <c r="A13" s="195"/>
      <c r="B13" s="195"/>
      <c r="C13" s="195"/>
      <c r="D13" s="121"/>
      <c r="E13" s="191"/>
      <c r="F13" s="121"/>
      <c r="G13" s="121"/>
      <c r="H13" s="121"/>
      <c r="I13" s="189" t="s">
        <v>419</v>
      </c>
      <c r="J13" s="195" t="s">
        <v>479</v>
      </c>
      <c r="K13" s="195" t="s">
        <v>26</v>
      </c>
      <c r="L13" s="195" t="s">
        <v>436</v>
      </c>
      <c r="M13" s="121" t="s">
        <v>26</v>
      </c>
      <c r="N13" s="199">
        <v>0</v>
      </c>
      <c r="O13" s="198">
        <v>0</v>
      </c>
      <c r="P13" s="198">
        <v>0</v>
      </c>
      <c r="Q13" s="198">
        <v>0</v>
      </c>
      <c r="R13" s="189" t="s">
        <v>419</v>
      </c>
      <c r="S13" s="187" t="s">
        <v>9</v>
      </c>
    </row>
    <row r="14" spans="1:19" ht="15" customHeight="1" x14ac:dyDescent="0.2">
      <c r="A14" s="195"/>
      <c r="B14" s="195"/>
      <c r="C14" s="195"/>
      <c r="D14" s="121"/>
      <c r="E14" s="191"/>
      <c r="F14" s="121"/>
      <c r="G14" s="121"/>
      <c r="H14" s="121"/>
      <c r="I14" s="121"/>
      <c r="J14" s="195" t="s">
        <v>479</v>
      </c>
      <c r="K14" s="195" t="s">
        <v>26</v>
      </c>
      <c r="L14" s="195" t="s">
        <v>436</v>
      </c>
      <c r="M14" s="121" t="s">
        <v>38</v>
      </c>
      <c r="N14" s="196">
        <v>0</v>
      </c>
      <c r="O14" s="200">
        <v>0</v>
      </c>
      <c r="P14" s="200">
        <v>0</v>
      </c>
      <c r="Q14" s="200">
        <v>0</v>
      </c>
      <c r="R14" s="121"/>
      <c r="S14" s="44" t="s">
        <v>404</v>
      </c>
    </row>
    <row r="15" spans="1:19" ht="15" customHeight="1" x14ac:dyDescent="0.2">
      <c r="A15" s="195"/>
      <c r="B15" s="195"/>
      <c r="C15" s="195"/>
      <c r="D15" s="121"/>
      <c r="E15" s="191"/>
      <c r="F15" s="121"/>
      <c r="G15" s="121"/>
      <c r="H15" s="121"/>
      <c r="I15" s="189" t="s">
        <v>51</v>
      </c>
      <c r="J15" s="195" t="s">
        <v>479</v>
      </c>
      <c r="K15" s="195" t="s">
        <v>26</v>
      </c>
      <c r="L15" s="195" t="s">
        <v>436</v>
      </c>
      <c r="M15" s="121" t="s">
        <v>39</v>
      </c>
      <c r="N15" s="199">
        <v>0</v>
      </c>
      <c r="O15" s="198">
        <v>0</v>
      </c>
      <c r="P15" s="198">
        <v>0</v>
      </c>
      <c r="Q15" s="198">
        <v>0</v>
      </c>
      <c r="R15" s="189" t="s">
        <v>51</v>
      </c>
      <c r="S15" s="187" t="s">
        <v>11</v>
      </c>
    </row>
    <row r="16" spans="1:19" x14ac:dyDescent="0.2">
      <c r="A16" s="195"/>
      <c r="B16" s="195"/>
      <c r="C16" s="195"/>
      <c r="D16" s="121"/>
      <c r="E16" s="191"/>
      <c r="F16" s="121"/>
      <c r="G16" s="121"/>
      <c r="H16" s="121"/>
      <c r="I16" s="189" t="s">
        <v>418</v>
      </c>
      <c r="J16" s="195" t="s">
        <v>479</v>
      </c>
      <c r="K16" s="195" t="s">
        <v>26</v>
      </c>
      <c r="L16" s="195" t="s">
        <v>436</v>
      </c>
      <c r="M16" s="121" t="s">
        <v>40</v>
      </c>
      <c r="N16" s="199">
        <v>33828.5</v>
      </c>
      <c r="O16" s="198">
        <v>2</v>
      </c>
      <c r="P16" s="198">
        <v>0</v>
      </c>
      <c r="Q16" s="198">
        <v>0</v>
      </c>
      <c r="R16" s="189" t="s">
        <v>418</v>
      </c>
      <c r="S16" s="187" t="s">
        <v>405</v>
      </c>
    </row>
    <row r="17" spans="1:19" x14ac:dyDescent="0.2">
      <c r="A17" s="195"/>
      <c r="B17" s="195"/>
      <c r="C17" s="195"/>
      <c r="D17" s="121"/>
      <c r="E17" s="191"/>
      <c r="F17" s="121"/>
      <c r="G17" s="121"/>
      <c r="H17" s="121"/>
      <c r="I17" s="121"/>
      <c r="J17" s="195" t="s">
        <v>479</v>
      </c>
      <c r="K17" s="195" t="s">
        <v>26</v>
      </c>
      <c r="L17" s="195" t="s">
        <v>436</v>
      </c>
      <c r="M17" s="121" t="s">
        <v>41</v>
      </c>
      <c r="N17" s="196">
        <v>0</v>
      </c>
      <c r="O17" s="200">
        <v>0</v>
      </c>
      <c r="P17" s="200">
        <v>0</v>
      </c>
      <c r="Q17" s="200">
        <v>0</v>
      </c>
      <c r="R17" s="121"/>
      <c r="S17" s="44" t="s">
        <v>406</v>
      </c>
    </row>
    <row r="18" spans="1:19" ht="15" customHeight="1" x14ac:dyDescent="0.2">
      <c r="A18" s="195"/>
      <c r="B18" s="195"/>
      <c r="C18" s="195"/>
      <c r="D18" s="121"/>
      <c r="E18" s="191"/>
      <c r="F18" s="121"/>
      <c r="G18" s="121"/>
      <c r="H18" s="121"/>
      <c r="I18" s="189" t="s">
        <v>420</v>
      </c>
      <c r="J18" s="195" t="s">
        <v>479</v>
      </c>
      <c r="K18" s="195" t="s">
        <v>26</v>
      </c>
      <c r="L18" s="195" t="s">
        <v>436</v>
      </c>
      <c r="M18" s="121" t="s">
        <v>42</v>
      </c>
      <c r="N18" s="199">
        <v>0</v>
      </c>
      <c r="O18" s="198">
        <v>0</v>
      </c>
      <c r="P18" s="198">
        <v>0</v>
      </c>
      <c r="Q18" s="198">
        <v>0</v>
      </c>
      <c r="R18" s="189" t="s">
        <v>420</v>
      </c>
      <c r="S18" s="187" t="s">
        <v>376</v>
      </c>
    </row>
    <row r="19" spans="1:19" ht="15" customHeight="1" x14ac:dyDescent="0.2">
      <c r="A19" s="195"/>
      <c r="B19" s="195"/>
      <c r="C19" s="195"/>
      <c r="D19" s="121"/>
      <c r="E19" s="191"/>
      <c r="F19" s="121"/>
      <c r="G19" s="121"/>
      <c r="H19" s="121"/>
      <c r="I19" s="189" t="s">
        <v>416</v>
      </c>
      <c r="J19" s="195" t="s">
        <v>479</v>
      </c>
      <c r="K19" s="195" t="s">
        <v>26</v>
      </c>
      <c r="L19" s="195" t="s">
        <v>436</v>
      </c>
      <c r="M19" s="121" t="s">
        <v>43</v>
      </c>
      <c r="N19" s="199">
        <v>0</v>
      </c>
      <c r="O19" s="198">
        <v>0</v>
      </c>
      <c r="P19" s="198">
        <v>0</v>
      </c>
      <c r="Q19" s="198">
        <v>0</v>
      </c>
      <c r="R19" s="189" t="s">
        <v>416</v>
      </c>
      <c r="S19" s="187" t="s">
        <v>377</v>
      </c>
    </row>
    <row r="20" spans="1:19" x14ac:dyDescent="0.2">
      <c r="A20" s="195"/>
      <c r="B20" s="195"/>
      <c r="C20" s="195"/>
      <c r="D20" s="121"/>
      <c r="E20" s="191"/>
      <c r="F20" s="121"/>
      <c r="G20" s="121"/>
      <c r="H20" s="121"/>
      <c r="I20" s="121"/>
      <c r="J20" s="195" t="s">
        <v>479</v>
      </c>
      <c r="K20" s="195" t="s">
        <v>26</v>
      </c>
      <c r="L20" s="195" t="s">
        <v>436</v>
      </c>
      <c r="M20" s="121" t="s">
        <v>44</v>
      </c>
      <c r="N20" s="196">
        <v>0</v>
      </c>
      <c r="O20" s="200">
        <v>0</v>
      </c>
      <c r="P20" s="200">
        <v>0</v>
      </c>
      <c r="Q20" s="200">
        <v>0</v>
      </c>
      <c r="R20" s="121"/>
      <c r="S20" s="44" t="s">
        <v>15</v>
      </c>
    </row>
    <row r="21" spans="1:19" x14ac:dyDescent="0.2">
      <c r="A21" s="195"/>
      <c r="B21" s="195"/>
      <c r="C21" s="195"/>
      <c r="D21" s="121"/>
      <c r="E21" s="191"/>
      <c r="F21" s="121"/>
      <c r="G21" s="121"/>
      <c r="H21" s="121"/>
      <c r="I21" s="186">
        <v>6</v>
      </c>
      <c r="J21" s="195" t="s">
        <v>479</v>
      </c>
      <c r="K21" s="195" t="s">
        <v>26</v>
      </c>
      <c r="L21" s="195" t="s">
        <v>436</v>
      </c>
      <c r="M21" s="121" t="s">
        <v>45</v>
      </c>
      <c r="N21" s="197">
        <v>2221209.91</v>
      </c>
      <c r="O21" s="198">
        <v>56</v>
      </c>
      <c r="P21" s="198">
        <v>38</v>
      </c>
      <c r="Q21" s="198">
        <v>38</v>
      </c>
      <c r="R21" s="186">
        <v>6</v>
      </c>
      <c r="S21" s="187" t="s">
        <v>16</v>
      </c>
    </row>
    <row r="22" spans="1:19" x14ac:dyDescent="0.2">
      <c r="A22" s="195"/>
      <c r="B22" s="195"/>
      <c r="C22" s="195"/>
      <c r="D22" s="121"/>
      <c r="E22" s="191"/>
      <c r="F22" s="121"/>
      <c r="G22" s="121"/>
      <c r="H22" s="121"/>
      <c r="I22" s="121"/>
      <c r="J22" s="195" t="s">
        <v>479</v>
      </c>
      <c r="K22" s="195" t="s">
        <v>26</v>
      </c>
      <c r="L22" s="195" t="s">
        <v>436</v>
      </c>
      <c r="M22" s="121" t="s">
        <v>46</v>
      </c>
      <c r="N22" s="196">
        <v>0</v>
      </c>
      <c r="O22" s="200">
        <v>0</v>
      </c>
      <c r="P22" s="200">
        <v>0</v>
      </c>
      <c r="Q22" s="200">
        <v>0</v>
      </c>
      <c r="R22" s="121"/>
      <c r="S22" s="44" t="s">
        <v>407</v>
      </c>
    </row>
    <row r="23" spans="1:19" ht="15" customHeight="1" x14ac:dyDescent="0.2">
      <c r="A23" s="195"/>
      <c r="B23" s="195"/>
      <c r="C23" s="195"/>
      <c r="D23" s="121"/>
      <c r="E23" s="191"/>
      <c r="F23" s="121"/>
      <c r="G23" s="121"/>
      <c r="H23" s="121"/>
      <c r="I23" s="186">
        <v>5</v>
      </c>
      <c r="J23" s="195" t="s">
        <v>479</v>
      </c>
      <c r="K23" s="195" t="s">
        <v>26</v>
      </c>
      <c r="L23" s="195" t="s">
        <v>436</v>
      </c>
      <c r="M23" s="121" t="s">
        <v>47</v>
      </c>
      <c r="N23" s="197">
        <v>1391765.08</v>
      </c>
      <c r="O23" s="198">
        <v>28</v>
      </c>
      <c r="P23" s="198">
        <v>71</v>
      </c>
      <c r="Q23" s="198">
        <v>70</v>
      </c>
      <c r="R23" s="186">
        <v>5</v>
      </c>
      <c r="S23" s="187" t="s">
        <v>17</v>
      </c>
    </row>
    <row r="24" spans="1:19" ht="15" customHeight="1" x14ac:dyDescent="0.2">
      <c r="A24" s="195"/>
      <c r="B24" s="195"/>
      <c r="C24" s="195"/>
      <c r="D24" s="121"/>
      <c r="E24" s="191"/>
      <c r="F24" s="121"/>
      <c r="G24" s="121"/>
      <c r="H24" s="121"/>
      <c r="I24" s="45"/>
      <c r="J24" s="195" t="s">
        <v>479</v>
      </c>
      <c r="K24" s="195" t="s">
        <v>26</v>
      </c>
      <c r="L24" s="195" t="s">
        <v>436</v>
      </c>
      <c r="M24" s="121" t="s">
        <v>48</v>
      </c>
      <c r="N24" s="196">
        <v>0</v>
      </c>
      <c r="O24" s="200">
        <v>0</v>
      </c>
      <c r="P24" s="200">
        <v>0</v>
      </c>
      <c r="Q24" s="200">
        <v>0</v>
      </c>
      <c r="S24" s="44" t="s">
        <v>407</v>
      </c>
    </row>
    <row r="25" spans="1:19" ht="15" customHeight="1" x14ac:dyDescent="0.2">
      <c r="A25" s="195"/>
      <c r="B25" s="195"/>
      <c r="C25" s="195"/>
      <c r="D25" s="121"/>
      <c r="E25" s="191"/>
      <c r="F25" s="121"/>
      <c r="G25" s="121"/>
      <c r="H25" s="121"/>
      <c r="I25" s="45"/>
      <c r="J25" s="195" t="s">
        <v>479</v>
      </c>
      <c r="K25" s="195" t="s">
        <v>26</v>
      </c>
      <c r="L25" s="195" t="s">
        <v>436</v>
      </c>
      <c r="M25" s="121" t="s">
        <v>319</v>
      </c>
      <c r="N25" s="196">
        <v>0</v>
      </c>
      <c r="O25" s="200">
        <v>0</v>
      </c>
      <c r="P25" s="200">
        <v>0</v>
      </c>
      <c r="Q25" s="200">
        <v>0</v>
      </c>
      <c r="S25" s="44" t="s">
        <v>18</v>
      </c>
    </row>
    <row r="26" spans="1:19" ht="15" customHeight="1" x14ac:dyDescent="0.2">
      <c r="A26" s="195"/>
      <c r="B26" s="195"/>
      <c r="C26" s="195"/>
      <c r="D26" s="121"/>
      <c r="E26" s="191"/>
      <c r="F26" s="121"/>
      <c r="G26" s="121"/>
      <c r="H26" s="121"/>
      <c r="I26" s="190" t="s">
        <v>421</v>
      </c>
      <c r="J26" s="195" t="s">
        <v>479</v>
      </c>
      <c r="K26" s="195" t="s">
        <v>26</v>
      </c>
      <c r="L26" s="195" t="s">
        <v>436</v>
      </c>
      <c r="M26" s="121" t="s">
        <v>320</v>
      </c>
      <c r="N26" s="199">
        <v>0</v>
      </c>
      <c r="O26" s="198">
        <v>0</v>
      </c>
      <c r="P26" s="198">
        <v>0</v>
      </c>
      <c r="Q26" s="198">
        <v>0</v>
      </c>
      <c r="R26" s="190" t="s">
        <v>421</v>
      </c>
      <c r="S26" s="187" t="s">
        <v>358</v>
      </c>
    </row>
    <row r="27" spans="1:19" x14ac:dyDescent="0.2">
      <c r="A27" s="195"/>
      <c r="B27" s="195"/>
      <c r="C27" s="195"/>
      <c r="D27" s="121"/>
      <c r="E27" s="191"/>
      <c r="F27" s="121"/>
      <c r="G27" s="121"/>
      <c r="H27" s="121"/>
      <c r="I27" s="190" t="s">
        <v>415</v>
      </c>
      <c r="J27" s="195" t="s">
        <v>479</v>
      </c>
      <c r="K27" s="195" t="s">
        <v>26</v>
      </c>
      <c r="L27" s="195" t="s">
        <v>436</v>
      </c>
      <c r="M27" s="121" t="s">
        <v>321</v>
      </c>
      <c r="N27" s="199">
        <v>0</v>
      </c>
      <c r="O27" s="198">
        <v>0</v>
      </c>
      <c r="P27" s="198">
        <v>0</v>
      </c>
      <c r="Q27" s="198">
        <v>0</v>
      </c>
      <c r="R27" s="190" t="s">
        <v>415</v>
      </c>
      <c r="S27" s="187" t="s">
        <v>408</v>
      </c>
    </row>
    <row r="28" spans="1:19" x14ac:dyDescent="0.2">
      <c r="A28" s="195"/>
      <c r="B28" s="195"/>
      <c r="C28" s="195"/>
      <c r="D28" s="121"/>
      <c r="E28" s="191"/>
      <c r="F28" s="121"/>
      <c r="G28" s="121"/>
      <c r="H28" s="121"/>
      <c r="J28" s="195" t="s">
        <v>479</v>
      </c>
      <c r="K28" s="195" t="s">
        <v>26</v>
      </c>
      <c r="L28" s="195" t="s">
        <v>436</v>
      </c>
      <c r="M28" s="121" t="s">
        <v>322</v>
      </c>
      <c r="N28" s="196">
        <v>0</v>
      </c>
      <c r="O28" s="200">
        <v>0</v>
      </c>
      <c r="P28" s="200">
        <v>0</v>
      </c>
      <c r="Q28" s="200">
        <v>0</v>
      </c>
      <c r="S28" s="44" t="s">
        <v>215</v>
      </c>
    </row>
    <row r="29" spans="1:19" x14ac:dyDescent="0.2">
      <c r="A29" s="195"/>
      <c r="B29" s="195"/>
      <c r="C29" s="195"/>
      <c r="D29" s="121"/>
      <c r="E29" s="191"/>
      <c r="F29" s="121"/>
      <c r="G29" s="121"/>
      <c r="H29" s="121"/>
      <c r="J29" s="195" t="s">
        <v>479</v>
      </c>
      <c r="K29" s="195" t="s">
        <v>26</v>
      </c>
      <c r="L29" s="195" t="s">
        <v>436</v>
      </c>
      <c r="M29" s="121" t="s">
        <v>391</v>
      </c>
      <c r="N29" s="196">
        <v>0</v>
      </c>
      <c r="O29" s="200">
        <v>0</v>
      </c>
      <c r="P29" s="200">
        <v>0</v>
      </c>
      <c r="Q29" s="200">
        <v>0</v>
      </c>
      <c r="S29" s="44" t="s">
        <v>409</v>
      </c>
    </row>
    <row r="30" spans="1:19" ht="15" customHeight="1" x14ac:dyDescent="0.2">
      <c r="A30" s="195"/>
      <c r="B30" s="195"/>
      <c r="C30" s="195"/>
      <c r="D30" s="121"/>
      <c r="E30" s="191"/>
      <c r="F30" s="121"/>
      <c r="G30" s="121"/>
      <c r="H30" s="121"/>
      <c r="J30" s="195" t="s">
        <v>479</v>
      </c>
      <c r="K30" s="195" t="s">
        <v>26</v>
      </c>
      <c r="L30" s="195" t="s">
        <v>436</v>
      </c>
      <c r="M30" s="121" t="s">
        <v>392</v>
      </c>
      <c r="N30" s="196">
        <v>0</v>
      </c>
      <c r="O30" s="200">
        <v>0</v>
      </c>
      <c r="P30" s="200">
        <v>0</v>
      </c>
      <c r="Q30" s="200">
        <v>0</v>
      </c>
      <c r="S30" s="44" t="s">
        <v>410</v>
      </c>
    </row>
    <row r="31" spans="1:19" x14ac:dyDescent="0.2">
      <c r="A31" s="195"/>
      <c r="B31" s="195"/>
      <c r="C31" s="195"/>
      <c r="D31" s="121"/>
      <c r="E31" s="191"/>
      <c r="F31" s="121"/>
      <c r="G31" s="121"/>
      <c r="H31" s="121"/>
      <c r="J31" s="195" t="s">
        <v>479</v>
      </c>
      <c r="K31" s="195" t="s">
        <v>26</v>
      </c>
      <c r="L31" s="195" t="s">
        <v>436</v>
      </c>
      <c r="M31" s="121" t="s">
        <v>393</v>
      </c>
      <c r="N31" s="196">
        <v>0</v>
      </c>
      <c r="O31" s="200">
        <v>0</v>
      </c>
      <c r="P31" s="200">
        <v>0</v>
      </c>
      <c r="Q31" s="200">
        <v>0</v>
      </c>
      <c r="S31" s="44" t="s">
        <v>411</v>
      </c>
    </row>
    <row r="32" spans="1:19" x14ac:dyDescent="0.2">
      <c r="A32" s="195"/>
      <c r="B32" s="195"/>
      <c r="C32" s="195"/>
      <c r="D32" s="201"/>
      <c r="E32" s="202"/>
      <c r="F32" s="201"/>
      <c r="G32" s="201"/>
      <c r="H32" s="201"/>
      <c r="J32" s="195" t="s">
        <v>479</v>
      </c>
      <c r="K32" s="195" t="s">
        <v>26</v>
      </c>
      <c r="L32" s="195" t="s">
        <v>436</v>
      </c>
      <c r="M32" s="201" t="s">
        <v>394</v>
      </c>
      <c r="N32" s="203">
        <v>14636596.02</v>
      </c>
      <c r="O32" s="204">
        <v>1004</v>
      </c>
      <c r="P32" s="204">
        <v>760</v>
      </c>
      <c r="Q32" s="204">
        <v>662</v>
      </c>
      <c r="S32" s="185" t="s">
        <v>412</v>
      </c>
    </row>
    <row r="33" spans="1:19" x14ac:dyDescent="0.2">
      <c r="A33" s="195"/>
      <c r="B33" s="195"/>
      <c r="C33" s="195"/>
      <c r="D33" s="121"/>
      <c r="E33" s="191"/>
      <c r="F33" s="121"/>
      <c r="G33" s="121"/>
      <c r="H33" s="121"/>
      <c r="J33" s="195" t="s">
        <v>479</v>
      </c>
      <c r="K33" s="195" t="s">
        <v>26</v>
      </c>
      <c r="L33" s="195" t="s">
        <v>436</v>
      </c>
      <c r="M33" s="121" t="s">
        <v>49</v>
      </c>
      <c r="N33" s="196">
        <v>1020</v>
      </c>
      <c r="O33" s="200">
        <v>0</v>
      </c>
      <c r="P33" s="200">
        <v>0</v>
      </c>
      <c r="Q33" s="200">
        <v>0</v>
      </c>
      <c r="S33" s="44" t="s">
        <v>413</v>
      </c>
    </row>
    <row r="34" spans="1:19" x14ac:dyDescent="0.2">
      <c r="A34" s="195"/>
      <c r="B34" s="195"/>
      <c r="C34" s="195"/>
      <c r="D34" s="121"/>
      <c r="E34" s="191"/>
      <c r="F34" s="121"/>
      <c r="G34" s="121"/>
      <c r="H34" s="121"/>
      <c r="J34" s="195" t="s">
        <v>479</v>
      </c>
      <c r="K34" s="195" t="s">
        <v>26</v>
      </c>
      <c r="L34" s="195" t="s">
        <v>436</v>
      </c>
      <c r="M34" s="121" t="s">
        <v>50</v>
      </c>
      <c r="N34" s="196">
        <v>180</v>
      </c>
      <c r="O34" s="200">
        <v>0</v>
      </c>
      <c r="P34" s="200">
        <v>0</v>
      </c>
      <c r="Q34" s="200">
        <v>0</v>
      </c>
      <c r="S34" s="44" t="s">
        <v>414</v>
      </c>
    </row>
    <row r="35" spans="1:19" x14ac:dyDescent="0.2">
      <c r="D35" s="188" t="s">
        <v>89</v>
      </c>
      <c r="E35" s="192">
        <f>SUM(E3:E6,E21,E23)</f>
        <v>0</v>
      </c>
      <c r="F35" s="186">
        <f>SUM(F3:F6,F21,F23)</f>
        <v>0</v>
      </c>
      <c r="G35" s="186">
        <f>SUM(G3:G6,G21,G23)</f>
        <v>0</v>
      </c>
      <c r="H35" s="186">
        <f>SUM(H3:H6,H21,H23)</f>
        <v>0</v>
      </c>
      <c r="M35" s="188" t="s">
        <v>89</v>
      </c>
      <c r="N35" s="192">
        <f>SUM(N3:N6,N21,N23)</f>
        <v>7284469.5099999998</v>
      </c>
      <c r="O35" s="186">
        <f>SUM(O3:O6,O21,O23)</f>
        <v>500</v>
      </c>
      <c r="P35" s="186">
        <f>SUM(P3:P6,P21,P23)</f>
        <v>380</v>
      </c>
      <c r="Q35" s="186">
        <f>SUM(Q3:Q6,Q21,Q23)</f>
        <v>331</v>
      </c>
    </row>
    <row r="36" spans="1:19" x14ac:dyDescent="0.2">
      <c r="D36" s="45" t="s">
        <v>99</v>
      </c>
      <c r="E36" s="94">
        <f>E3+E4+E5+E6+E21+E23</f>
        <v>0</v>
      </c>
      <c r="F36" s="121">
        <f>F3+F4+F5+F6+F21+F23</f>
        <v>0</v>
      </c>
      <c r="G36" s="121">
        <f>G3+G4+G5+G6+G21+G23</f>
        <v>0</v>
      </c>
      <c r="H36" s="121">
        <f>H3+H4+H5+H6+H21+H23</f>
        <v>0</v>
      </c>
      <c r="M36" s="45" t="s">
        <v>99</v>
      </c>
      <c r="N36" s="94">
        <f>N3+N4+N5+N6+N21+N23</f>
        <v>7284469.5099999998</v>
      </c>
      <c r="O36" s="121">
        <f>O3+O4+O5+O6+O21+O23</f>
        <v>500</v>
      </c>
      <c r="P36" s="121">
        <f>P3+P4+P5+P6+P21+P23</f>
        <v>380</v>
      </c>
      <c r="Q36" s="121">
        <f>Q3+Q4+Q5+Q6+Q21+Q23</f>
        <v>331</v>
      </c>
    </row>
    <row r="37" spans="1:19" x14ac:dyDescent="0.2">
      <c r="D37" s="188" t="s">
        <v>272</v>
      </c>
      <c r="E37" s="192">
        <f>SUM(E3:E6,E15,E21,E23)</f>
        <v>0</v>
      </c>
      <c r="F37" s="186">
        <f>SUM(F3:F6,F15,F21,F23)</f>
        <v>0</v>
      </c>
      <c r="G37" s="186">
        <f>SUM(G3:G6,G15,G21,G23)</f>
        <v>0</v>
      </c>
      <c r="H37" s="186">
        <f>SUM(H3:H6,H15,H21,H23)</f>
        <v>0</v>
      </c>
      <c r="M37" s="188" t="s">
        <v>272</v>
      </c>
      <c r="N37" s="192">
        <f>SUM(N3:N6,N15,N21,N23)</f>
        <v>7284469.5099999998</v>
      </c>
      <c r="O37" s="186">
        <f>SUM(O3:O6,O15,O21,O23)</f>
        <v>500</v>
      </c>
      <c r="P37" s="186">
        <f>SUM(P3:P6,P15,P21,P23)</f>
        <v>380</v>
      </c>
      <c r="Q37" s="186">
        <f>SUM(Q3:Q6,Q15,Q21,Q23)</f>
        <v>331</v>
      </c>
    </row>
    <row r="38" spans="1:19" x14ac:dyDescent="0.2">
      <c r="D38" s="45" t="s">
        <v>99</v>
      </c>
      <c r="E38" s="94">
        <f>E3+E4+E5+E6+E15+E21+E23</f>
        <v>0</v>
      </c>
      <c r="F38" s="121">
        <f>F3+F4+F5+F6+F15+F21+F23</f>
        <v>0</v>
      </c>
      <c r="G38" s="121">
        <f>G3+G4+G5+G6+G15+G21+G23</f>
        <v>0</v>
      </c>
      <c r="H38" s="121">
        <f>H3+H4+H5+H6+H15+H21+H23</f>
        <v>0</v>
      </c>
      <c r="M38" s="45" t="s">
        <v>99</v>
      </c>
      <c r="N38" s="94">
        <f>N3+N4+N5+N6+N15+N21+N23</f>
        <v>7284469.5099999998</v>
      </c>
      <c r="O38" s="121">
        <f>O3+O4+O5+O6+O15+O21+O23</f>
        <v>500</v>
      </c>
      <c r="P38" s="121">
        <f>P3+P4+P5+P6+P15+P21+P23</f>
        <v>380</v>
      </c>
      <c r="Q38" s="121">
        <f>Q3+Q4+Q5+Q6+Q15+Q21+Q23</f>
        <v>331</v>
      </c>
    </row>
    <row r="39" spans="1:19" x14ac:dyDescent="0.2">
      <c r="D39" s="44"/>
      <c r="F39" s="45"/>
      <c r="G39" s="192" t="e">
        <f>SUM(H32)/G32*100</f>
        <v>#DIV/0!</v>
      </c>
      <c r="H39" s="193" t="e">
        <f>SUM(E32)/H32</f>
        <v>#DIV/0!</v>
      </c>
      <c r="P39" s="192">
        <f>SUM(Q32)/P32*100</f>
        <v>87.10526315789474</v>
      </c>
      <c r="Q39" s="193">
        <f>SUM(N32)/Q32</f>
        <v>22109.66166163142</v>
      </c>
    </row>
    <row r="40" spans="1:19" x14ac:dyDescent="0.2">
      <c r="D40" s="44"/>
      <c r="E40" s="196">
        <f>SUM(E3:E21,E23,E25:E31)</f>
        <v>0</v>
      </c>
      <c r="F40" s="200">
        <f>SUM(F3:F21,F23,F25:F31)</f>
        <v>0</v>
      </c>
      <c r="G40" s="200">
        <f>SUM(G3:G21,G23,G25:G31)</f>
        <v>0</v>
      </c>
      <c r="H40" s="200">
        <f>SUM(H3:H21,H23,H25:H31)</f>
        <v>0</v>
      </c>
      <c r="N40" s="196">
        <f>SUM(N3:N21,N23,N25:N31)</f>
        <v>7318298.0099999998</v>
      </c>
      <c r="O40" s="200">
        <f>SUM(O3:O21,O23,O25:O31)</f>
        <v>502</v>
      </c>
      <c r="P40" s="200">
        <f>SUM(P3:P21,P23,P25:P31)</f>
        <v>380</v>
      </c>
      <c r="Q40" s="200">
        <f>SUM(Q3:Q21,Q23,Q25:Q31)</f>
        <v>331</v>
      </c>
    </row>
    <row r="41" spans="1:19" x14ac:dyDescent="0.2">
      <c r="D41" s="44"/>
      <c r="E41" s="191">
        <f>SUM(E2:E31)</f>
        <v>0</v>
      </c>
      <c r="F41" s="121">
        <f>SUM(F2:F31)</f>
        <v>0</v>
      </c>
      <c r="G41" s="121">
        <f>SUM(G2:G31)</f>
        <v>0</v>
      </c>
      <c r="H41" s="121">
        <f>SUM(H2:H31)</f>
        <v>0</v>
      </c>
      <c r="N41" s="191">
        <f>SUM(N2:N31)</f>
        <v>14636596.020000001</v>
      </c>
      <c r="O41" s="121">
        <f>SUM(O2:O31)</f>
        <v>1004</v>
      </c>
      <c r="P41" s="121">
        <f>SUM(P2:P31)</f>
        <v>760</v>
      </c>
      <c r="Q41" s="121">
        <f>SUM(Q2:Q31)</f>
        <v>662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Arkusz32">
    <tabColor theme="0"/>
  </sheetPr>
  <dimension ref="A1:S41"/>
  <sheetViews>
    <sheetView zoomScale="80" zoomScaleNormal="80" workbookViewId="0">
      <selection activeCell="A2" sqref="A2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195" t="s">
        <v>22</v>
      </c>
      <c r="B1" s="195" t="s">
        <v>23</v>
      </c>
      <c r="C1" s="195" t="s">
        <v>24</v>
      </c>
      <c r="D1" s="121" t="s">
        <v>25</v>
      </c>
      <c r="E1" s="193" t="s">
        <v>387</v>
      </c>
      <c r="F1" s="191" t="s">
        <v>388</v>
      </c>
      <c r="G1" s="191" t="s">
        <v>389</v>
      </c>
      <c r="H1" s="191" t="s">
        <v>390</v>
      </c>
      <c r="J1" s="195" t="s">
        <v>22</v>
      </c>
      <c r="K1" s="195" t="s">
        <v>23</v>
      </c>
      <c r="L1" s="195" t="s">
        <v>24</v>
      </c>
      <c r="M1" s="121" t="s">
        <v>25</v>
      </c>
      <c r="N1" s="193" t="s">
        <v>387</v>
      </c>
      <c r="O1" s="191" t="s">
        <v>388</v>
      </c>
      <c r="P1" s="191" t="s">
        <v>389</v>
      </c>
      <c r="Q1" s="191" t="s">
        <v>390</v>
      </c>
    </row>
    <row r="2" spans="1:19" ht="15" customHeight="1" x14ac:dyDescent="0.2">
      <c r="A2" s="195"/>
      <c r="B2" s="195"/>
      <c r="C2" s="195"/>
      <c r="D2" s="121"/>
      <c r="E2" s="191"/>
      <c r="F2" s="121"/>
      <c r="G2" s="121"/>
      <c r="H2" s="121"/>
      <c r="J2" s="195" t="s">
        <v>479</v>
      </c>
      <c r="K2" s="195" t="s">
        <v>26</v>
      </c>
      <c r="L2" s="195" t="s">
        <v>435</v>
      </c>
      <c r="M2" s="121" t="s">
        <v>27</v>
      </c>
      <c r="N2" s="196">
        <v>10742492.609999999</v>
      </c>
      <c r="O2" s="200">
        <v>823</v>
      </c>
      <c r="P2" s="200">
        <v>611</v>
      </c>
      <c r="Q2" s="200">
        <v>510</v>
      </c>
      <c r="S2" s="44" t="s">
        <v>395</v>
      </c>
    </row>
    <row r="3" spans="1:19" x14ac:dyDescent="0.2">
      <c r="A3" s="195"/>
      <c r="B3" s="195"/>
      <c r="C3" s="195"/>
      <c r="D3" s="121"/>
      <c r="E3" s="191"/>
      <c r="F3" s="121"/>
      <c r="G3" s="121"/>
      <c r="H3" s="121"/>
      <c r="I3" s="186">
        <v>1</v>
      </c>
      <c r="J3" s="195" t="s">
        <v>479</v>
      </c>
      <c r="K3" s="195" t="s">
        <v>26</v>
      </c>
      <c r="L3" s="195" t="s">
        <v>435</v>
      </c>
      <c r="M3" s="121" t="s">
        <v>28</v>
      </c>
      <c r="N3" s="197">
        <v>2761203.66</v>
      </c>
      <c r="O3" s="198">
        <v>288</v>
      </c>
      <c r="P3" s="198">
        <v>195</v>
      </c>
      <c r="Q3" s="198">
        <v>169</v>
      </c>
      <c r="R3" s="186">
        <v>1</v>
      </c>
      <c r="S3" s="187" t="s">
        <v>396</v>
      </c>
    </row>
    <row r="4" spans="1:19" x14ac:dyDescent="0.2">
      <c r="A4" s="195"/>
      <c r="B4" s="195"/>
      <c r="C4" s="195"/>
      <c r="D4" s="121"/>
      <c r="E4" s="191"/>
      <c r="F4" s="121"/>
      <c r="G4" s="121"/>
      <c r="H4" s="121"/>
      <c r="I4" s="186">
        <v>2</v>
      </c>
      <c r="J4" s="195" t="s">
        <v>479</v>
      </c>
      <c r="K4" s="195" t="s">
        <v>26</v>
      </c>
      <c r="L4" s="195" t="s">
        <v>435</v>
      </c>
      <c r="M4" s="121" t="s">
        <v>29</v>
      </c>
      <c r="N4" s="197">
        <v>94923.37</v>
      </c>
      <c r="O4" s="198">
        <v>40</v>
      </c>
      <c r="P4" s="198">
        <v>16</v>
      </c>
      <c r="Q4" s="198">
        <v>7</v>
      </c>
      <c r="R4" s="186">
        <v>2</v>
      </c>
      <c r="S4" s="187" t="s">
        <v>397</v>
      </c>
    </row>
    <row r="5" spans="1:19" x14ac:dyDescent="0.2">
      <c r="A5" s="195"/>
      <c r="B5" s="195"/>
      <c r="C5" s="195"/>
      <c r="D5" s="121"/>
      <c r="E5" s="191"/>
      <c r="F5" s="121"/>
      <c r="G5" s="121"/>
      <c r="H5" s="121"/>
      <c r="I5" s="186">
        <v>3</v>
      </c>
      <c r="J5" s="195" t="s">
        <v>479</v>
      </c>
      <c r="K5" s="195" t="s">
        <v>26</v>
      </c>
      <c r="L5" s="195" t="s">
        <v>435</v>
      </c>
      <c r="M5" s="121" t="s">
        <v>30</v>
      </c>
      <c r="N5" s="197">
        <v>815143.27</v>
      </c>
      <c r="O5" s="198">
        <v>133</v>
      </c>
      <c r="P5" s="198">
        <v>78</v>
      </c>
      <c r="Q5" s="198">
        <v>78</v>
      </c>
      <c r="R5" s="186">
        <v>3</v>
      </c>
      <c r="S5" s="187" t="s">
        <v>399</v>
      </c>
    </row>
    <row r="6" spans="1:19" x14ac:dyDescent="0.2">
      <c r="A6" s="195"/>
      <c r="B6" s="195"/>
      <c r="C6" s="195"/>
      <c r="D6" s="121"/>
      <c r="E6" s="191"/>
      <c r="F6" s="121"/>
      <c r="G6" s="121"/>
      <c r="H6" s="121"/>
      <c r="I6" s="186">
        <v>4</v>
      </c>
      <c r="J6" s="195" t="s">
        <v>479</v>
      </c>
      <c r="K6" s="195" t="s">
        <v>26</v>
      </c>
      <c r="L6" s="195" t="s">
        <v>435</v>
      </c>
      <c r="M6" s="121" t="s">
        <v>31</v>
      </c>
      <c r="N6" s="197">
        <v>394641.09</v>
      </c>
      <c r="O6" s="198">
        <v>38</v>
      </c>
      <c r="P6" s="198">
        <v>27</v>
      </c>
      <c r="Q6" s="198">
        <v>27</v>
      </c>
      <c r="R6" s="186">
        <v>4</v>
      </c>
      <c r="S6" s="187" t="s">
        <v>398</v>
      </c>
    </row>
    <row r="7" spans="1:19" x14ac:dyDescent="0.2">
      <c r="A7" s="195"/>
      <c r="B7" s="195"/>
      <c r="C7" s="195"/>
      <c r="D7" s="121"/>
      <c r="E7" s="191"/>
      <c r="F7" s="121"/>
      <c r="G7" s="121"/>
      <c r="H7" s="121"/>
      <c r="I7" s="189" t="s">
        <v>417</v>
      </c>
      <c r="J7" s="195" t="s">
        <v>479</v>
      </c>
      <c r="K7" s="195" t="s">
        <v>26</v>
      </c>
      <c r="L7" s="195" t="s">
        <v>435</v>
      </c>
      <c r="M7" s="121" t="s">
        <v>32</v>
      </c>
      <c r="N7" s="199">
        <v>84868.08</v>
      </c>
      <c r="O7" s="198">
        <v>67</v>
      </c>
      <c r="P7" s="198">
        <v>47</v>
      </c>
      <c r="Q7" s="198">
        <v>3</v>
      </c>
      <c r="R7" s="189" t="s">
        <v>417</v>
      </c>
      <c r="S7" s="187" t="s">
        <v>400</v>
      </c>
    </row>
    <row r="8" spans="1:19" x14ac:dyDescent="0.2">
      <c r="A8" s="195"/>
      <c r="B8" s="195"/>
      <c r="C8" s="195"/>
      <c r="D8" s="121"/>
      <c r="E8" s="191"/>
      <c r="F8" s="121"/>
      <c r="G8" s="121"/>
      <c r="H8" s="121"/>
      <c r="I8" s="121"/>
      <c r="J8" s="195" t="s">
        <v>479</v>
      </c>
      <c r="K8" s="195" t="s">
        <v>26</v>
      </c>
      <c r="L8" s="195" t="s">
        <v>435</v>
      </c>
      <c r="M8" s="121" t="s">
        <v>33</v>
      </c>
      <c r="N8" s="196">
        <v>0</v>
      </c>
      <c r="O8" s="200">
        <v>0</v>
      </c>
      <c r="P8" s="200">
        <v>0</v>
      </c>
      <c r="Q8" s="200">
        <v>0</v>
      </c>
      <c r="R8" s="121"/>
      <c r="S8" s="44" t="s">
        <v>401</v>
      </c>
    </row>
    <row r="9" spans="1:19" x14ac:dyDescent="0.2">
      <c r="A9" s="195"/>
      <c r="B9" s="195"/>
      <c r="C9" s="195"/>
      <c r="D9" s="121"/>
      <c r="E9" s="191"/>
      <c r="F9" s="121"/>
      <c r="G9" s="121"/>
      <c r="H9" s="121"/>
      <c r="I9" s="121"/>
      <c r="J9" s="195" t="s">
        <v>479</v>
      </c>
      <c r="K9" s="195" t="s">
        <v>26</v>
      </c>
      <c r="L9" s="195" t="s">
        <v>435</v>
      </c>
      <c r="M9" s="121" t="s">
        <v>34</v>
      </c>
      <c r="N9" s="196">
        <v>42193.71</v>
      </c>
      <c r="O9" s="200">
        <v>4</v>
      </c>
      <c r="P9" s="200">
        <v>4</v>
      </c>
      <c r="Q9" s="200">
        <v>2</v>
      </c>
      <c r="R9" s="121"/>
      <c r="S9" s="44" t="s">
        <v>6</v>
      </c>
    </row>
    <row r="10" spans="1:19" ht="15" customHeight="1" x14ac:dyDescent="0.2">
      <c r="A10" s="195"/>
      <c r="B10" s="195"/>
      <c r="C10" s="195"/>
      <c r="D10" s="121"/>
      <c r="E10" s="191"/>
      <c r="F10" s="121"/>
      <c r="G10" s="121"/>
      <c r="H10" s="121"/>
      <c r="I10" s="121"/>
      <c r="J10" s="195" t="s">
        <v>479</v>
      </c>
      <c r="K10" s="195" t="s">
        <v>26</v>
      </c>
      <c r="L10" s="195" t="s">
        <v>435</v>
      </c>
      <c r="M10" s="121" t="s">
        <v>35</v>
      </c>
      <c r="N10" s="196">
        <v>0</v>
      </c>
      <c r="O10" s="200">
        <v>0</v>
      </c>
      <c r="P10" s="200">
        <v>0</v>
      </c>
      <c r="Q10" s="200">
        <v>0</v>
      </c>
      <c r="R10" s="121"/>
      <c r="S10" s="44" t="s">
        <v>402</v>
      </c>
    </row>
    <row r="11" spans="1:19" ht="15" customHeight="1" x14ac:dyDescent="0.2">
      <c r="A11" s="195"/>
      <c r="B11" s="195"/>
      <c r="C11" s="195"/>
      <c r="D11" s="121"/>
      <c r="E11" s="191"/>
      <c r="F11" s="121"/>
      <c r="G11" s="121"/>
      <c r="H11" s="121"/>
      <c r="I11" s="121"/>
      <c r="J11" s="195" t="s">
        <v>479</v>
      </c>
      <c r="K11" s="195" t="s">
        <v>26</v>
      </c>
      <c r="L11" s="195" t="s">
        <v>435</v>
      </c>
      <c r="M11" s="121" t="s">
        <v>36</v>
      </c>
      <c r="N11" s="196">
        <v>0</v>
      </c>
      <c r="O11" s="200">
        <v>0</v>
      </c>
      <c r="P11" s="200">
        <v>0</v>
      </c>
      <c r="Q11" s="200">
        <v>0</v>
      </c>
      <c r="R11" s="121"/>
      <c r="S11" s="44" t="s">
        <v>8</v>
      </c>
    </row>
    <row r="12" spans="1:19" x14ac:dyDescent="0.2">
      <c r="A12" s="195"/>
      <c r="B12" s="195"/>
      <c r="C12" s="195"/>
      <c r="D12" s="121"/>
      <c r="E12" s="191"/>
      <c r="F12" s="121"/>
      <c r="G12" s="121"/>
      <c r="H12" s="121"/>
      <c r="I12" s="121"/>
      <c r="J12" s="195" t="s">
        <v>479</v>
      </c>
      <c r="K12" s="195" t="s">
        <v>26</v>
      </c>
      <c r="L12" s="195" t="s">
        <v>435</v>
      </c>
      <c r="M12" s="121" t="s">
        <v>37</v>
      </c>
      <c r="N12" s="196">
        <v>0</v>
      </c>
      <c r="O12" s="200">
        <v>0</v>
      </c>
      <c r="P12" s="200">
        <v>0</v>
      </c>
      <c r="Q12" s="200">
        <v>0</v>
      </c>
      <c r="R12" s="121"/>
      <c r="S12" s="44" t="s">
        <v>403</v>
      </c>
    </row>
    <row r="13" spans="1:19" x14ac:dyDescent="0.2">
      <c r="A13" s="195"/>
      <c r="B13" s="195"/>
      <c r="C13" s="195"/>
      <c r="D13" s="121"/>
      <c r="E13" s="191"/>
      <c r="F13" s="121"/>
      <c r="G13" s="121"/>
      <c r="H13" s="121"/>
      <c r="I13" s="189" t="s">
        <v>419</v>
      </c>
      <c r="J13" s="195" t="s">
        <v>479</v>
      </c>
      <c r="K13" s="195" t="s">
        <v>26</v>
      </c>
      <c r="L13" s="195" t="s">
        <v>435</v>
      </c>
      <c r="M13" s="121" t="s">
        <v>26</v>
      </c>
      <c r="N13" s="199">
        <v>4234.9799999999996</v>
      </c>
      <c r="O13" s="198">
        <v>3</v>
      </c>
      <c r="P13" s="198">
        <v>2</v>
      </c>
      <c r="Q13" s="198">
        <v>2</v>
      </c>
      <c r="R13" s="189" t="s">
        <v>419</v>
      </c>
      <c r="S13" s="187" t="s">
        <v>9</v>
      </c>
    </row>
    <row r="14" spans="1:19" ht="15" customHeight="1" x14ac:dyDescent="0.2">
      <c r="A14" s="195"/>
      <c r="B14" s="195"/>
      <c r="C14" s="195"/>
      <c r="D14" s="121"/>
      <c r="E14" s="191"/>
      <c r="F14" s="121"/>
      <c r="G14" s="121"/>
      <c r="H14" s="121"/>
      <c r="I14" s="121"/>
      <c r="J14" s="195" t="s">
        <v>479</v>
      </c>
      <c r="K14" s="195" t="s">
        <v>26</v>
      </c>
      <c r="L14" s="195" t="s">
        <v>435</v>
      </c>
      <c r="M14" s="121" t="s">
        <v>38</v>
      </c>
      <c r="N14" s="196">
        <v>75569</v>
      </c>
      <c r="O14" s="200">
        <v>8</v>
      </c>
      <c r="P14" s="200">
        <v>7</v>
      </c>
      <c r="Q14" s="200">
        <v>6</v>
      </c>
      <c r="R14" s="121"/>
      <c r="S14" s="44" t="s">
        <v>404</v>
      </c>
    </row>
    <row r="15" spans="1:19" ht="15" customHeight="1" x14ac:dyDescent="0.2">
      <c r="A15" s="195"/>
      <c r="B15" s="195"/>
      <c r="C15" s="195"/>
      <c r="D15" s="121"/>
      <c r="E15" s="191"/>
      <c r="F15" s="121"/>
      <c r="G15" s="121"/>
      <c r="H15" s="121"/>
      <c r="I15" s="189" t="s">
        <v>51</v>
      </c>
      <c r="J15" s="195" t="s">
        <v>479</v>
      </c>
      <c r="K15" s="195" t="s">
        <v>26</v>
      </c>
      <c r="L15" s="195" t="s">
        <v>435</v>
      </c>
      <c r="M15" s="121" t="s">
        <v>39</v>
      </c>
      <c r="N15" s="199">
        <v>328000</v>
      </c>
      <c r="O15" s="198">
        <v>41</v>
      </c>
      <c r="P15" s="198">
        <v>34</v>
      </c>
      <c r="Q15" s="198">
        <v>33</v>
      </c>
      <c r="R15" s="189" t="s">
        <v>51</v>
      </c>
      <c r="S15" s="187" t="s">
        <v>11</v>
      </c>
    </row>
    <row r="16" spans="1:19" x14ac:dyDescent="0.2">
      <c r="A16" s="195"/>
      <c r="B16" s="195"/>
      <c r="C16" s="195"/>
      <c r="D16" s="121"/>
      <c r="E16" s="191"/>
      <c r="F16" s="121"/>
      <c r="G16" s="121"/>
      <c r="H16" s="121"/>
      <c r="I16" s="189" t="s">
        <v>418</v>
      </c>
      <c r="J16" s="195" t="s">
        <v>479</v>
      </c>
      <c r="K16" s="195" t="s">
        <v>26</v>
      </c>
      <c r="L16" s="195" t="s">
        <v>435</v>
      </c>
      <c r="M16" s="121" t="s">
        <v>40</v>
      </c>
      <c r="N16" s="199">
        <v>359364.57</v>
      </c>
      <c r="O16" s="198">
        <v>29</v>
      </c>
      <c r="P16" s="198">
        <v>21</v>
      </c>
      <c r="Q16" s="198">
        <v>19</v>
      </c>
      <c r="R16" s="189" t="s">
        <v>418</v>
      </c>
      <c r="S16" s="187" t="s">
        <v>405</v>
      </c>
    </row>
    <row r="17" spans="1:19" x14ac:dyDescent="0.2">
      <c r="A17" s="195"/>
      <c r="B17" s="195"/>
      <c r="C17" s="195"/>
      <c r="D17" s="121"/>
      <c r="E17" s="191"/>
      <c r="F17" s="121"/>
      <c r="G17" s="121"/>
      <c r="H17" s="121"/>
      <c r="I17" s="121"/>
      <c r="J17" s="195" t="s">
        <v>479</v>
      </c>
      <c r="K17" s="195" t="s">
        <v>26</v>
      </c>
      <c r="L17" s="195" t="s">
        <v>435</v>
      </c>
      <c r="M17" s="121" t="s">
        <v>41</v>
      </c>
      <c r="N17" s="196">
        <v>0</v>
      </c>
      <c r="O17" s="200">
        <v>0</v>
      </c>
      <c r="P17" s="200">
        <v>0</v>
      </c>
      <c r="Q17" s="200">
        <v>0</v>
      </c>
      <c r="R17" s="121"/>
      <c r="S17" s="44" t="s">
        <v>406</v>
      </c>
    </row>
    <row r="18" spans="1:19" ht="15" customHeight="1" x14ac:dyDescent="0.2">
      <c r="A18" s="195"/>
      <c r="B18" s="195"/>
      <c r="C18" s="195"/>
      <c r="D18" s="121"/>
      <c r="E18" s="191"/>
      <c r="F18" s="121"/>
      <c r="G18" s="121"/>
      <c r="H18" s="121"/>
      <c r="I18" s="189" t="s">
        <v>420</v>
      </c>
      <c r="J18" s="195" t="s">
        <v>479</v>
      </c>
      <c r="K18" s="195" t="s">
        <v>26</v>
      </c>
      <c r="L18" s="195" t="s">
        <v>435</v>
      </c>
      <c r="M18" s="121" t="s">
        <v>42</v>
      </c>
      <c r="N18" s="199">
        <v>0</v>
      </c>
      <c r="O18" s="198">
        <v>0</v>
      </c>
      <c r="P18" s="198">
        <v>0</v>
      </c>
      <c r="Q18" s="198">
        <v>0</v>
      </c>
      <c r="R18" s="189" t="s">
        <v>420</v>
      </c>
      <c r="S18" s="187" t="s">
        <v>376</v>
      </c>
    </row>
    <row r="19" spans="1:19" ht="15" customHeight="1" x14ac:dyDescent="0.2">
      <c r="A19" s="195"/>
      <c r="B19" s="195"/>
      <c r="C19" s="195"/>
      <c r="D19" s="121"/>
      <c r="E19" s="191"/>
      <c r="F19" s="121"/>
      <c r="G19" s="121"/>
      <c r="H19" s="121"/>
      <c r="I19" s="189" t="s">
        <v>416</v>
      </c>
      <c r="J19" s="195" t="s">
        <v>479</v>
      </c>
      <c r="K19" s="195" t="s">
        <v>26</v>
      </c>
      <c r="L19" s="195" t="s">
        <v>435</v>
      </c>
      <c r="M19" s="121" t="s">
        <v>43</v>
      </c>
      <c r="N19" s="199">
        <v>35478.129999999997</v>
      </c>
      <c r="O19" s="198">
        <v>6</v>
      </c>
      <c r="P19" s="198">
        <v>0</v>
      </c>
      <c r="Q19" s="198">
        <v>0</v>
      </c>
      <c r="R19" s="189" t="s">
        <v>416</v>
      </c>
      <c r="S19" s="187" t="s">
        <v>377</v>
      </c>
    </row>
    <row r="20" spans="1:19" x14ac:dyDescent="0.2">
      <c r="A20" s="195"/>
      <c r="B20" s="195"/>
      <c r="C20" s="195"/>
      <c r="D20" s="121"/>
      <c r="E20" s="191"/>
      <c r="F20" s="121"/>
      <c r="G20" s="121"/>
      <c r="H20" s="121"/>
      <c r="I20" s="121"/>
      <c r="J20" s="195" t="s">
        <v>479</v>
      </c>
      <c r="K20" s="195" t="s">
        <v>26</v>
      </c>
      <c r="L20" s="195" t="s">
        <v>435</v>
      </c>
      <c r="M20" s="121" t="s">
        <v>44</v>
      </c>
      <c r="N20" s="196">
        <v>0</v>
      </c>
      <c r="O20" s="200">
        <v>0</v>
      </c>
      <c r="P20" s="200">
        <v>0</v>
      </c>
      <c r="Q20" s="200">
        <v>0</v>
      </c>
      <c r="R20" s="121"/>
      <c r="S20" s="44" t="s">
        <v>15</v>
      </c>
    </row>
    <row r="21" spans="1:19" x14ac:dyDescent="0.2">
      <c r="A21" s="195"/>
      <c r="B21" s="195"/>
      <c r="C21" s="195"/>
      <c r="D21" s="121"/>
      <c r="E21" s="191"/>
      <c r="F21" s="121"/>
      <c r="G21" s="121"/>
      <c r="H21" s="121"/>
      <c r="I21" s="186">
        <v>6</v>
      </c>
      <c r="J21" s="195" t="s">
        <v>479</v>
      </c>
      <c r="K21" s="195" t="s">
        <v>26</v>
      </c>
      <c r="L21" s="195" t="s">
        <v>435</v>
      </c>
      <c r="M21" s="121" t="s">
        <v>45</v>
      </c>
      <c r="N21" s="197">
        <v>2965694.23</v>
      </c>
      <c r="O21" s="198">
        <v>88</v>
      </c>
      <c r="P21" s="198">
        <v>81</v>
      </c>
      <c r="Q21" s="198">
        <v>81</v>
      </c>
      <c r="R21" s="186">
        <v>6</v>
      </c>
      <c r="S21" s="187" t="s">
        <v>16</v>
      </c>
    </row>
    <row r="22" spans="1:19" x14ac:dyDescent="0.2">
      <c r="A22" s="195"/>
      <c r="B22" s="195"/>
      <c r="C22" s="195"/>
      <c r="D22" s="121"/>
      <c r="E22" s="191"/>
      <c r="F22" s="121"/>
      <c r="G22" s="121"/>
      <c r="H22" s="121"/>
      <c r="I22" s="121"/>
      <c r="J22" s="195" t="s">
        <v>479</v>
      </c>
      <c r="K22" s="195" t="s">
        <v>26</v>
      </c>
      <c r="L22" s="195" t="s">
        <v>435</v>
      </c>
      <c r="M22" s="121" t="s">
        <v>46</v>
      </c>
      <c r="N22" s="196">
        <v>0</v>
      </c>
      <c r="O22" s="200">
        <v>0</v>
      </c>
      <c r="P22" s="200">
        <v>0</v>
      </c>
      <c r="Q22" s="200">
        <v>0</v>
      </c>
      <c r="R22" s="121"/>
      <c r="S22" s="44" t="s">
        <v>407</v>
      </c>
    </row>
    <row r="23" spans="1:19" ht="15" customHeight="1" x14ac:dyDescent="0.2">
      <c r="A23" s="195"/>
      <c r="B23" s="195"/>
      <c r="C23" s="195"/>
      <c r="D23" s="121"/>
      <c r="E23" s="191"/>
      <c r="F23" s="121"/>
      <c r="G23" s="121"/>
      <c r="H23" s="121"/>
      <c r="I23" s="186">
        <v>5</v>
      </c>
      <c r="J23" s="195" t="s">
        <v>479</v>
      </c>
      <c r="K23" s="195" t="s">
        <v>26</v>
      </c>
      <c r="L23" s="195" t="s">
        <v>435</v>
      </c>
      <c r="M23" s="121" t="s">
        <v>47</v>
      </c>
      <c r="N23" s="197">
        <v>2671506.9500000002</v>
      </c>
      <c r="O23" s="198">
        <v>70</v>
      </c>
      <c r="P23" s="198">
        <v>95</v>
      </c>
      <c r="Q23" s="198">
        <v>79</v>
      </c>
      <c r="R23" s="186">
        <v>5</v>
      </c>
      <c r="S23" s="187" t="s">
        <v>17</v>
      </c>
    </row>
    <row r="24" spans="1:19" ht="15" customHeight="1" x14ac:dyDescent="0.2">
      <c r="A24" s="195"/>
      <c r="B24" s="195"/>
      <c r="C24" s="195"/>
      <c r="D24" s="121"/>
      <c r="E24" s="191"/>
      <c r="F24" s="121"/>
      <c r="G24" s="121"/>
      <c r="H24" s="121"/>
      <c r="I24" s="45"/>
      <c r="J24" s="195" t="s">
        <v>479</v>
      </c>
      <c r="K24" s="195" t="s">
        <v>26</v>
      </c>
      <c r="L24" s="195" t="s">
        <v>435</v>
      </c>
      <c r="M24" s="121" t="s">
        <v>48</v>
      </c>
      <c r="N24" s="196">
        <v>0</v>
      </c>
      <c r="O24" s="200">
        <v>0</v>
      </c>
      <c r="P24" s="200">
        <v>0</v>
      </c>
      <c r="Q24" s="200">
        <v>0</v>
      </c>
      <c r="S24" s="44" t="s">
        <v>407</v>
      </c>
    </row>
    <row r="25" spans="1:19" ht="15" customHeight="1" x14ac:dyDescent="0.2">
      <c r="A25" s="195"/>
      <c r="B25" s="195"/>
      <c r="C25" s="195"/>
      <c r="D25" s="121"/>
      <c r="E25" s="191"/>
      <c r="F25" s="121"/>
      <c r="G25" s="121"/>
      <c r="H25" s="121"/>
      <c r="I25" s="45"/>
      <c r="J25" s="195" t="s">
        <v>479</v>
      </c>
      <c r="K25" s="195" t="s">
        <v>26</v>
      </c>
      <c r="L25" s="195" t="s">
        <v>435</v>
      </c>
      <c r="M25" s="121" t="s">
        <v>319</v>
      </c>
      <c r="N25" s="196">
        <v>0</v>
      </c>
      <c r="O25" s="200">
        <v>0</v>
      </c>
      <c r="P25" s="200">
        <v>0</v>
      </c>
      <c r="Q25" s="200">
        <v>0</v>
      </c>
      <c r="S25" s="44" t="s">
        <v>18</v>
      </c>
    </row>
    <row r="26" spans="1:19" ht="15" customHeight="1" x14ac:dyDescent="0.2">
      <c r="A26" s="195"/>
      <c r="B26" s="195"/>
      <c r="C26" s="195"/>
      <c r="D26" s="121"/>
      <c r="E26" s="191"/>
      <c r="F26" s="121"/>
      <c r="G26" s="121"/>
      <c r="H26" s="121"/>
      <c r="I26" s="190" t="s">
        <v>421</v>
      </c>
      <c r="J26" s="195" t="s">
        <v>479</v>
      </c>
      <c r="K26" s="195" t="s">
        <v>26</v>
      </c>
      <c r="L26" s="195" t="s">
        <v>435</v>
      </c>
      <c r="M26" s="121" t="s">
        <v>320</v>
      </c>
      <c r="N26" s="199">
        <v>0</v>
      </c>
      <c r="O26" s="198">
        <v>0</v>
      </c>
      <c r="P26" s="198">
        <v>0</v>
      </c>
      <c r="Q26" s="198">
        <v>0</v>
      </c>
      <c r="R26" s="190" t="s">
        <v>421</v>
      </c>
      <c r="S26" s="187" t="s">
        <v>358</v>
      </c>
    </row>
    <row r="27" spans="1:19" x14ac:dyDescent="0.2">
      <c r="A27" s="195"/>
      <c r="B27" s="195"/>
      <c r="C27" s="195"/>
      <c r="D27" s="121"/>
      <c r="E27" s="191"/>
      <c r="F27" s="121"/>
      <c r="G27" s="121"/>
      <c r="H27" s="121"/>
      <c r="I27" s="190" t="s">
        <v>415</v>
      </c>
      <c r="J27" s="195" t="s">
        <v>479</v>
      </c>
      <c r="K27" s="195" t="s">
        <v>26</v>
      </c>
      <c r="L27" s="195" t="s">
        <v>435</v>
      </c>
      <c r="M27" s="121" t="s">
        <v>321</v>
      </c>
      <c r="N27" s="199">
        <v>109671.57</v>
      </c>
      <c r="O27" s="198">
        <v>8</v>
      </c>
      <c r="P27" s="198">
        <v>4</v>
      </c>
      <c r="Q27" s="198">
        <v>4</v>
      </c>
      <c r="R27" s="190" t="s">
        <v>415</v>
      </c>
      <c r="S27" s="187" t="s">
        <v>408</v>
      </c>
    </row>
    <row r="28" spans="1:19" x14ac:dyDescent="0.2">
      <c r="A28" s="195"/>
      <c r="B28" s="195"/>
      <c r="C28" s="195"/>
      <c r="D28" s="121"/>
      <c r="E28" s="191"/>
      <c r="F28" s="121"/>
      <c r="G28" s="121"/>
      <c r="H28" s="121"/>
      <c r="J28" s="195" t="s">
        <v>479</v>
      </c>
      <c r="K28" s="195" t="s">
        <v>26</v>
      </c>
      <c r="L28" s="195" t="s">
        <v>435</v>
      </c>
      <c r="M28" s="121" t="s">
        <v>322</v>
      </c>
      <c r="N28" s="196">
        <v>0</v>
      </c>
      <c r="O28" s="200">
        <v>0</v>
      </c>
      <c r="P28" s="200">
        <v>0</v>
      </c>
      <c r="Q28" s="200">
        <v>0</v>
      </c>
      <c r="S28" s="44" t="s">
        <v>215</v>
      </c>
    </row>
    <row r="29" spans="1:19" x14ac:dyDescent="0.2">
      <c r="A29" s="195"/>
      <c r="B29" s="195"/>
      <c r="C29" s="195"/>
      <c r="D29" s="121"/>
      <c r="E29" s="191"/>
      <c r="F29" s="121"/>
      <c r="G29" s="121"/>
      <c r="H29" s="121"/>
      <c r="J29" s="195" t="s">
        <v>479</v>
      </c>
      <c r="K29" s="195" t="s">
        <v>26</v>
      </c>
      <c r="L29" s="195" t="s">
        <v>435</v>
      </c>
      <c r="M29" s="121" t="s">
        <v>391</v>
      </c>
      <c r="N29" s="196">
        <v>0</v>
      </c>
      <c r="O29" s="200">
        <v>0</v>
      </c>
      <c r="P29" s="200">
        <v>0</v>
      </c>
      <c r="Q29" s="200">
        <v>0</v>
      </c>
      <c r="S29" s="44" t="s">
        <v>409</v>
      </c>
    </row>
    <row r="30" spans="1:19" ht="15" customHeight="1" x14ac:dyDescent="0.2">
      <c r="A30" s="195"/>
      <c r="B30" s="195"/>
      <c r="C30" s="195"/>
      <c r="D30" s="121"/>
      <c r="E30" s="191"/>
      <c r="F30" s="121"/>
      <c r="G30" s="121"/>
      <c r="H30" s="121"/>
      <c r="J30" s="195" t="s">
        <v>479</v>
      </c>
      <c r="K30" s="195" t="s">
        <v>26</v>
      </c>
      <c r="L30" s="195" t="s">
        <v>435</v>
      </c>
      <c r="M30" s="121" t="s">
        <v>392</v>
      </c>
      <c r="N30" s="196">
        <v>0</v>
      </c>
      <c r="O30" s="200">
        <v>0</v>
      </c>
      <c r="P30" s="200">
        <v>0</v>
      </c>
      <c r="Q30" s="200">
        <v>0</v>
      </c>
      <c r="S30" s="44" t="s">
        <v>410</v>
      </c>
    </row>
    <row r="31" spans="1:19" x14ac:dyDescent="0.2">
      <c r="A31" s="195"/>
      <c r="B31" s="195"/>
      <c r="C31" s="195"/>
      <c r="D31" s="121"/>
      <c r="E31" s="191"/>
      <c r="F31" s="121"/>
      <c r="G31" s="121"/>
      <c r="H31" s="121"/>
      <c r="J31" s="195" t="s">
        <v>479</v>
      </c>
      <c r="K31" s="195" t="s">
        <v>26</v>
      </c>
      <c r="L31" s="195" t="s">
        <v>435</v>
      </c>
      <c r="M31" s="121" t="s">
        <v>393</v>
      </c>
      <c r="N31" s="196">
        <v>0</v>
      </c>
      <c r="O31" s="200">
        <v>0</v>
      </c>
      <c r="P31" s="200">
        <v>0</v>
      </c>
      <c r="Q31" s="200">
        <v>0</v>
      </c>
      <c r="S31" s="44" t="s">
        <v>411</v>
      </c>
    </row>
    <row r="32" spans="1:19" x14ac:dyDescent="0.2">
      <c r="A32" s="195"/>
      <c r="B32" s="195"/>
      <c r="C32" s="195"/>
      <c r="D32" s="201"/>
      <c r="E32" s="202"/>
      <c r="F32" s="201"/>
      <c r="G32" s="201"/>
      <c r="H32" s="201"/>
      <c r="J32" s="195" t="s">
        <v>479</v>
      </c>
      <c r="K32" s="195" t="s">
        <v>26</v>
      </c>
      <c r="L32" s="195" t="s">
        <v>435</v>
      </c>
      <c r="M32" s="201" t="s">
        <v>394</v>
      </c>
      <c r="N32" s="203">
        <v>21484985.219999999</v>
      </c>
      <c r="O32" s="204">
        <v>1646</v>
      </c>
      <c r="P32" s="204">
        <v>1222</v>
      </c>
      <c r="Q32" s="204">
        <v>1020</v>
      </c>
      <c r="S32" s="185" t="s">
        <v>412</v>
      </c>
    </row>
    <row r="33" spans="1:19" x14ac:dyDescent="0.2">
      <c r="A33" s="195"/>
      <c r="B33" s="195"/>
      <c r="C33" s="195"/>
      <c r="D33" s="121"/>
      <c r="E33" s="191"/>
      <c r="F33" s="121"/>
      <c r="G33" s="121"/>
      <c r="H33" s="121"/>
      <c r="J33" s="195" t="s">
        <v>479</v>
      </c>
      <c r="K33" s="195" t="s">
        <v>26</v>
      </c>
      <c r="L33" s="195" t="s">
        <v>435</v>
      </c>
      <c r="M33" s="121" t="s">
        <v>49</v>
      </c>
      <c r="N33" s="196">
        <v>480</v>
      </c>
      <c r="O33" s="200">
        <v>0</v>
      </c>
      <c r="P33" s="200">
        <v>0</v>
      </c>
      <c r="Q33" s="200">
        <v>0</v>
      </c>
      <c r="S33" s="44" t="s">
        <v>413</v>
      </c>
    </row>
    <row r="34" spans="1:19" x14ac:dyDescent="0.2">
      <c r="A34" s="195"/>
      <c r="B34" s="195"/>
      <c r="C34" s="195"/>
      <c r="D34" s="121"/>
      <c r="E34" s="191"/>
      <c r="F34" s="121"/>
      <c r="G34" s="121"/>
      <c r="H34" s="121"/>
      <c r="J34" s="195" t="s">
        <v>479</v>
      </c>
      <c r="K34" s="195" t="s">
        <v>26</v>
      </c>
      <c r="L34" s="195" t="s">
        <v>435</v>
      </c>
      <c r="M34" s="121" t="s">
        <v>50</v>
      </c>
      <c r="N34" s="196">
        <v>300</v>
      </c>
      <c r="O34" s="200">
        <v>0</v>
      </c>
      <c r="P34" s="200">
        <v>0</v>
      </c>
      <c r="Q34" s="200">
        <v>0</v>
      </c>
      <c r="S34" s="44" t="s">
        <v>414</v>
      </c>
    </row>
    <row r="35" spans="1:19" x14ac:dyDescent="0.2">
      <c r="D35" s="188" t="s">
        <v>89</v>
      </c>
      <c r="E35" s="192">
        <f>SUM(E3:E6,E21,E23)</f>
        <v>0</v>
      </c>
      <c r="F35" s="186">
        <f>SUM(F3:F6,F21,F23)</f>
        <v>0</v>
      </c>
      <c r="G35" s="186">
        <f>SUM(G3:G6,G21,G23)</f>
        <v>0</v>
      </c>
      <c r="H35" s="186">
        <f>SUM(H3:H6,H21,H23)</f>
        <v>0</v>
      </c>
      <c r="M35" s="188" t="s">
        <v>89</v>
      </c>
      <c r="N35" s="192">
        <f>SUM(N3:N6,N21,N23)</f>
        <v>9703112.5700000003</v>
      </c>
      <c r="O35" s="186">
        <f>SUM(O3:O6,O21,O23)</f>
        <v>657</v>
      </c>
      <c r="P35" s="186">
        <f>SUM(P3:P6,P21,P23)</f>
        <v>492</v>
      </c>
      <c r="Q35" s="186">
        <f>SUM(Q3:Q6,Q21,Q23)</f>
        <v>441</v>
      </c>
    </row>
    <row r="36" spans="1:19" x14ac:dyDescent="0.2">
      <c r="D36" s="45" t="s">
        <v>99</v>
      </c>
      <c r="E36" s="94">
        <f>E3+E4+E5+E6+E21+E23</f>
        <v>0</v>
      </c>
      <c r="F36" s="121">
        <f>F3+F4+F5+F6+F21+F23</f>
        <v>0</v>
      </c>
      <c r="G36" s="121">
        <f>G3+G4+G5+G6+G21+G23</f>
        <v>0</v>
      </c>
      <c r="H36" s="121">
        <f>H3+H4+H5+H6+H21+H23</f>
        <v>0</v>
      </c>
      <c r="M36" s="45" t="s">
        <v>99</v>
      </c>
      <c r="N36" s="94">
        <f>N3+N4+N5+N6+N21+N23</f>
        <v>9703112.5700000003</v>
      </c>
      <c r="O36" s="121">
        <f>O3+O4+O5+O6+O21+O23</f>
        <v>657</v>
      </c>
      <c r="P36" s="121">
        <f>P3+P4+P5+P6+P21+P23</f>
        <v>492</v>
      </c>
      <c r="Q36" s="121">
        <f>Q3+Q4+Q5+Q6+Q21+Q23</f>
        <v>441</v>
      </c>
    </row>
    <row r="37" spans="1:19" x14ac:dyDescent="0.2">
      <c r="D37" s="188" t="s">
        <v>272</v>
      </c>
      <c r="E37" s="192">
        <f>SUM(E3:E6,E15,E21,E23)</f>
        <v>0</v>
      </c>
      <c r="F37" s="186">
        <f>SUM(F3:F6,F15,F21,F23)</f>
        <v>0</v>
      </c>
      <c r="G37" s="186">
        <f>SUM(G3:G6,G15,G21,G23)</f>
        <v>0</v>
      </c>
      <c r="H37" s="186">
        <f>SUM(H3:H6,H15,H21,H23)</f>
        <v>0</v>
      </c>
      <c r="M37" s="188" t="s">
        <v>272</v>
      </c>
      <c r="N37" s="192">
        <f>SUM(N3:N6,N15,N21,N23)</f>
        <v>10031112.57</v>
      </c>
      <c r="O37" s="186">
        <f>SUM(O3:O6,O15,O21,O23)</f>
        <v>698</v>
      </c>
      <c r="P37" s="186">
        <f>SUM(P3:P6,P15,P21,P23)</f>
        <v>526</v>
      </c>
      <c r="Q37" s="186">
        <f>SUM(Q3:Q6,Q15,Q21,Q23)</f>
        <v>474</v>
      </c>
    </row>
    <row r="38" spans="1:19" x14ac:dyDescent="0.2">
      <c r="D38" s="45" t="s">
        <v>99</v>
      </c>
      <c r="E38" s="94">
        <f>E3+E4+E5+E6+E15+E21+E23</f>
        <v>0</v>
      </c>
      <c r="F38" s="121">
        <f>F3+F4+F5+F6+F15+F21+F23</f>
        <v>0</v>
      </c>
      <c r="G38" s="121">
        <f>G3+G4+G5+G6+G15+G21+G23</f>
        <v>0</v>
      </c>
      <c r="H38" s="121">
        <f>H3+H4+H5+H6+H15+H21+H23</f>
        <v>0</v>
      </c>
      <c r="M38" s="45" t="s">
        <v>99</v>
      </c>
      <c r="N38" s="94">
        <f>N3+N4+N5+N6+N15+N21+N23</f>
        <v>10031112.57</v>
      </c>
      <c r="O38" s="121">
        <f>O3+O4+O5+O6+O15+O21+O23</f>
        <v>698</v>
      </c>
      <c r="P38" s="121">
        <f>P3+P4+P5+P6+P15+P21+P23</f>
        <v>526</v>
      </c>
      <c r="Q38" s="121">
        <f>Q3+Q4+Q5+Q6+Q15+Q21+Q23</f>
        <v>474</v>
      </c>
    </row>
    <row r="39" spans="1:19" x14ac:dyDescent="0.2">
      <c r="D39" s="44"/>
      <c r="F39" s="45"/>
      <c r="G39" s="192" t="e">
        <f>SUM(H32)/G32*100</f>
        <v>#DIV/0!</v>
      </c>
      <c r="H39" s="193" t="e">
        <f>SUM(E32)/H32</f>
        <v>#DIV/0!</v>
      </c>
      <c r="P39" s="192">
        <f>SUM(Q32)/P32*100</f>
        <v>83.469721767594109</v>
      </c>
      <c r="Q39" s="193">
        <f>SUM(N32)/Q32</f>
        <v>21063.710999999999</v>
      </c>
    </row>
    <row r="40" spans="1:19" x14ac:dyDescent="0.2">
      <c r="D40" s="44"/>
      <c r="E40" s="196">
        <f>SUM(E3:E21,E23,E25:E31)</f>
        <v>0</v>
      </c>
      <c r="F40" s="200">
        <f>SUM(F3:F21,F23,F25:F31)</f>
        <v>0</v>
      </c>
      <c r="G40" s="200">
        <f>SUM(G3:G21,G23,G25:G31)</f>
        <v>0</v>
      </c>
      <c r="H40" s="200">
        <f>SUM(H3:H21,H23,H25:H31)</f>
        <v>0</v>
      </c>
      <c r="N40" s="196">
        <f>SUM(N3:N21,N23,N25:N31)</f>
        <v>10742492.609999999</v>
      </c>
      <c r="O40" s="200">
        <f>SUM(O3:O21,O23,O25:O31)</f>
        <v>823</v>
      </c>
      <c r="P40" s="200">
        <f>SUM(P3:P21,P23,P25:P31)</f>
        <v>611</v>
      </c>
      <c r="Q40" s="200">
        <f>SUM(Q3:Q21,Q23,Q25:Q31)</f>
        <v>510</v>
      </c>
    </row>
    <row r="41" spans="1:19" x14ac:dyDescent="0.2">
      <c r="D41" s="44"/>
      <c r="E41" s="191">
        <f>SUM(E2:E31)</f>
        <v>0</v>
      </c>
      <c r="F41" s="121">
        <f>SUM(F2:F31)</f>
        <v>0</v>
      </c>
      <c r="G41" s="121">
        <f>SUM(G2:G31)</f>
        <v>0</v>
      </c>
      <c r="H41" s="121">
        <f>SUM(H2:H31)</f>
        <v>0</v>
      </c>
      <c r="N41" s="191">
        <f>SUM(N2:N31)</f>
        <v>21484985.219999999</v>
      </c>
      <c r="O41" s="121">
        <f>SUM(O2:O31)</f>
        <v>1646</v>
      </c>
      <c r="P41" s="121">
        <f>SUM(P2:P31)</f>
        <v>1222</v>
      </c>
      <c r="Q41" s="121">
        <f>SUM(Q2:Q31)</f>
        <v>1020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Arkusz33">
    <tabColor theme="0"/>
  </sheetPr>
  <dimension ref="A1:S43"/>
  <sheetViews>
    <sheetView zoomScale="80" zoomScaleNormal="80" workbookViewId="0">
      <selection activeCell="A2" sqref="A2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195" t="s">
        <v>22</v>
      </c>
      <c r="B1" s="195" t="s">
        <v>23</v>
      </c>
      <c r="C1" s="195" t="s">
        <v>24</v>
      </c>
      <c r="D1" s="121" t="s">
        <v>25</v>
      </c>
      <c r="E1" s="193" t="s">
        <v>387</v>
      </c>
      <c r="F1" s="191" t="s">
        <v>388</v>
      </c>
      <c r="G1" s="191" t="s">
        <v>389</v>
      </c>
      <c r="H1" s="191" t="s">
        <v>390</v>
      </c>
      <c r="J1" s="195" t="s">
        <v>22</v>
      </c>
      <c r="K1" s="195" t="s">
        <v>23</v>
      </c>
      <c r="L1" s="195" t="s">
        <v>24</v>
      </c>
      <c r="M1" s="121" t="s">
        <v>25</v>
      </c>
      <c r="N1" s="193" t="s">
        <v>387</v>
      </c>
      <c r="O1" s="191" t="s">
        <v>388</v>
      </c>
      <c r="P1" s="191" t="s">
        <v>389</v>
      </c>
      <c r="Q1" s="191" t="s">
        <v>390</v>
      </c>
    </row>
    <row r="2" spans="1:19" ht="15" customHeight="1" x14ac:dyDescent="0.2">
      <c r="A2" s="195"/>
      <c r="B2" s="195"/>
      <c r="C2" s="195"/>
      <c r="D2" s="121"/>
      <c r="E2" s="191"/>
      <c r="F2" s="121"/>
      <c r="G2" s="121"/>
      <c r="H2" s="121"/>
      <c r="J2" s="195" t="s">
        <v>479</v>
      </c>
      <c r="K2" s="195" t="s">
        <v>26</v>
      </c>
      <c r="L2" s="195" t="s">
        <v>434</v>
      </c>
      <c r="M2" s="121" t="s">
        <v>27</v>
      </c>
      <c r="N2" s="196">
        <v>11639952.949999999</v>
      </c>
      <c r="O2" s="200">
        <v>920</v>
      </c>
      <c r="P2" s="200">
        <v>890</v>
      </c>
      <c r="Q2" s="200">
        <v>680</v>
      </c>
      <c r="S2" s="44" t="s">
        <v>395</v>
      </c>
    </row>
    <row r="3" spans="1:19" x14ac:dyDescent="0.2">
      <c r="A3" s="195"/>
      <c r="B3" s="195"/>
      <c r="C3" s="195"/>
      <c r="D3" s="121"/>
      <c r="E3" s="191"/>
      <c r="F3" s="121"/>
      <c r="G3" s="121"/>
      <c r="H3" s="121"/>
      <c r="I3" s="186">
        <v>1</v>
      </c>
      <c r="J3" s="195" t="s">
        <v>479</v>
      </c>
      <c r="K3" s="195" t="s">
        <v>26</v>
      </c>
      <c r="L3" s="195" t="s">
        <v>434</v>
      </c>
      <c r="M3" s="121" t="s">
        <v>28</v>
      </c>
      <c r="N3" s="197">
        <v>5492253.2000000002</v>
      </c>
      <c r="O3" s="198">
        <v>427</v>
      </c>
      <c r="P3" s="198">
        <v>361</v>
      </c>
      <c r="Q3" s="198">
        <v>308</v>
      </c>
      <c r="R3" s="186">
        <v>1</v>
      </c>
      <c r="S3" s="187" t="s">
        <v>396</v>
      </c>
    </row>
    <row r="4" spans="1:19" x14ac:dyDescent="0.2">
      <c r="A4" s="195"/>
      <c r="B4" s="195"/>
      <c r="C4" s="195"/>
      <c r="D4" s="121"/>
      <c r="E4" s="191"/>
      <c r="F4" s="121"/>
      <c r="G4" s="121"/>
      <c r="H4" s="121"/>
      <c r="I4" s="186">
        <v>2</v>
      </c>
      <c r="J4" s="195" t="s">
        <v>479</v>
      </c>
      <c r="K4" s="195" t="s">
        <v>26</v>
      </c>
      <c r="L4" s="195" t="s">
        <v>434</v>
      </c>
      <c r="M4" s="121" t="s">
        <v>29</v>
      </c>
      <c r="N4" s="197">
        <v>405599.18</v>
      </c>
      <c r="O4" s="198">
        <v>90</v>
      </c>
      <c r="P4" s="198">
        <v>86</v>
      </c>
      <c r="Q4" s="198">
        <v>16</v>
      </c>
      <c r="R4" s="186">
        <v>2</v>
      </c>
      <c r="S4" s="187" t="s">
        <v>397</v>
      </c>
    </row>
    <row r="5" spans="1:19" x14ac:dyDescent="0.2">
      <c r="A5" s="195"/>
      <c r="B5" s="195"/>
      <c r="C5" s="195"/>
      <c r="D5" s="121"/>
      <c r="E5" s="191"/>
      <c r="F5" s="121"/>
      <c r="G5" s="121"/>
      <c r="H5" s="121"/>
      <c r="I5" s="186">
        <v>3</v>
      </c>
      <c r="J5" s="195" t="s">
        <v>479</v>
      </c>
      <c r="K5" s="195" t="s">
        <v>26</v>
      </c>
      <c r="L5" s="195" t="s">
        <v>434</v>
      </c>
      <c r="M5" s="121" t="s">
        <v>30</v>
      </c>
      <c r="N5" s="197">
        <v>699857.78</v>
      </c>
      <c r="O5" s="198">
        <v>85</v>
      </c>
      <c r="P5" s="198">
        <v>74</v>
      </c>
      <c r="Q5" s="198">
        <v>71</v>
      </c>
      <c r="R5" s="186">
        <v>3</v>
      </c>
      <c r="S5" s="187" t="s">
        <v>399</v>
      </c>
    </row>
    <row r="6" spans="1:19" x14ac:dyDescent="0.2">
      <c r="A6" s="195"/>
      <c r="B6" s="195"/>
      <c r="C6" s="195"/>
      <c r="D6" s="121"/>
      <c r="E6" s="191"/>
      <c r="F6" s="121"/>
      <c r="G6" s="121"/>
      <c r="H6" s="121"/>
      <c r="I6" s="186">
        <v>4</v>
      </c>
      <c r="J6" s="195" t="s">
        <v>479</v>
      </c>
      <c r="K6" s="195" t="s">
        <v>26</v>
      </c>
      <c r="L6" s="195" t="s">
        <v>434</v>
      </c>
      <c r="M6" s="121" t="s">
        <v>31</v>
      </c>
      <c r="N6" s="197">
        <v>1669015.18</v>
      </c>
      <c r="O6" s="198">
        <v>146</v>
      </c>
      <c r="P6" s="198">
        <v>141</v>
      </c>
      <c r="Q6" s="198">
        <v>137</v>
      </c>
      <c r="R6" s="186">
        <v>4</v>
      </c>
      <c r="S6" s="187" t="s">
        <v>398</v>
      </c>
    </row>
    <row r="7" spans="1:19" x14ac:dyDescent="0.2">
      <c r="A7" s="195"/>
      <c r="B7" s="195"/>
      <c r="C7" s="195"/>
      <c r="D7" s="121"/>
      <c r="E7" s="191"/>
      <c r="F7" s="121"/>
      <c r="G7" s="121"/>
      <c r="H7" s="121"/>
      <c r="I7" s="189" t="s">
        <v>417</v>
      </c>
      <c r="J7" s="195" t="s">
        <v>479</v>
      </c>
      <c r="K7" s="195" t="s">
        <v>26</v>
      </c>
      <c r="L7" s="195" t="s">
        <v>434</v>
      </c>
      <c r="M7" s="121" t="s">
        <v>32</v>
      </c>
      <c r="N7" s="199">
        <v>62651.88</v>
      </c>
      <c r="O7" s="198">
        <v>38</v>
      </c>
      <c r="P7" s="198">
        <v>38</v>
      </c>
      <c r="Q7" s="198">
        <v>1</v>
      </c>
      <c r="R7" s="189" t="s">
        <v>417</v>
      </c>
      <c r="S7" s="187" t="s">
        <v>400</v>
      </c>
    </row>
    <row r="8" spans="1:19" x14ac:dyDescent="0.2">
      <c r="A8" s="195"/>
      <c r="B8" s="195"/>
      <c r="C8" s="195"/>
      <c r="D8" s="121"/>
      <c r="E8" s="191"/>
      <c r="F8" s="121"/>
      <c r="G8" s="121"/>
      <c r="H8" s="121"/>
      <c r="I8" s="121"/>
      <c r="J8" s="195" t="s">
        <v>479</v>
      </c>
      <c r="K8" s="195" t="s">
        <v>26</v>
      </c>
      <c r="L8" s="195" t="s">
        <v>434</v>
      </c>
      <c r="M8" s="121" t="s">
        <v>33</v>
      </c>
      <c r="N8" s="196">
        <v>0</v>
      </c>
      <c r="O8" s="200">
        <v>0</v>
      </c>
      <c r="P8" s="200">
        <v>0</v>
      </c>
      <c r="Q8" s="200">
        <v>0</v>
      </c>
      <c r="R8" s="121"/>
      <c r="S8" s="44" t="s">
        <v>401</v>
      </c>
    </row>
    <row r="9" spans="1:19" x14ac:dyDescent="0.2">
      <c r="A9" s="195"/>
      <c r="B9" s="195"/>
      <c r="C9" s="195"/>
      <c r="D9" s="121"/>
      <c r="E9" s="191"/>
      <c r="F9" s="121"/>
      <c r="G9" s="121"/>
      <c r="H9" s="121"/>
      <c r="I9" s="121"/>
      <c r="J9" s="195" t="s">
        <v>479</v>
      </c>
      <c r="K9" s="195" t="s">
        <v>26</v>
      </c>
      <c r="L9" s="195" t="s">
        <v>434</v>
      </c>
      <c r="M9" s="121" t="s">
        <v>34</v>
      </c>
      <c r="N9" s="196">
        <v>0</v>
      </c>
      <c r="O9" s="200">
        <v>0</v>
      </c>
      <c r="P9" s="200">
        <v>0</v>
      </c>
      <c r="Q9" s="200">
        <v>0</v>
      </c>
      <c r="R9" s="121"/>
      <c r="S9" s="44" t="s">
        <v>6</v>
      </c>
    </row>
    <row r="10" spans="1:19" ht="15" customHeight="1" x14ac:dyDescent="0.2">
      <c r="A10" s="195"/>
      <c r="B10" s="195"/>
      <c r="C10" s="195"/>
      <c r="D10" s="121"/>
      <c r="E10" s="191"/>
      <c r="F10" s="121"/>
      <c r="G10" s="121"/>
      <c r="H10" s="121"/>
      <c r="I10" s="121"/>
      <c r="J10" s="195" t="s">
        <v>479</v>
      </c>
      <c r="K10" s="195" t="s">
        <v>26</v>
      </c>
      <c r="L10" s="195" t="s">
        <v>434</v>
      </c>
      <c r="M10" s="121" t="s">
        <v>35</v>
      </c>
      <c r="N10" s="196">
        <v>0</v>
      </c>
      <c r="O10" s="200">
        <v>0</v>
      </c>
      <c r="P10" s="200">
        <v>0</v>
      </c>
      <c r="Q10" s="200">
        <v>0</v>
      </c>
      <c r="R10" s="121"/>
      <c r="S10" s="44" t="s">
        <v>402</v>
      </c>
    </row>
    <row r="11" spans="1:19" ht="15" customHeight="1" x14ac:dyDescent="0.2">
      <c r="A11" s="195"/>
      <c r="B11" s="195"/>
      <c r="C11" s="195"/>
      <c r="D11" s="121"/>
      <c r="E11" s="191"/>
      <c r="F11" s="121"/>
      <c r="G11" s="121"/>
      <c r="H11" s="121"/>
      <c r="I11" s="121"/>
      <c r="J11" s="195" t="s">
        <v>479</v>
      </c>
      <c r="K11" s="195" t="s">
        <v>26</v>
      </c>
      <c r="L11" s="195" t="s">
        <v>434</v>
      </c>
      <c r="M11" s="121" t="s">
        <v>36</v>
      </c>
      <c r="N11" s="196">
        <v>0</v>
      </c>
      <c r="O11" s="200">
        <v>0</v>
      </c>
      <c r="P11" s="200">
        <v>0</v>
      </c>
      <c r="Q11" s="200">
        <v>0</v>
      </c>
      <c r="R11" s="121"/>
      <c r="S11" s="44" t="s">
        <v>8</v>
      </c>
    </row>
    <row r="12" spans="1:19" x14ac:dyDescent="0.2">
      <c r="A12" s="195"/>
      <c r="B12" s="195"/>
      <c r="C12" s="195"/>
      <c r="D12" s="121"/>
      <c r="E12" s="191"/>
      <c r="F12" s="121"/>
      <c r="G12" s="121"/>
      <c r="H12" s="121"/>
      <c r="I12" s="121"/>
      <c r="J12" s="195" t="s">
        <v>479</v>
      </c>
      <c r="K12" s="195" t="s">
        <v>26</v>
      </c>
      <c r="L12" s="195" t="s">
        <v>434</v>
      </c>
      <c r="M12" s="121" t="s">
        <v>37</v>
      </c>
      <c r="N12" s="196">
        <v>0</v>
      </c>
      <c r="O12" s="200">
        <v>0</v>
      </c>
      <c r="P12" s="200">
        <v>0</v>
      </c>
      <c r="Q12" s="200">
        <v>0</v>
      </c>
      <c r="R12" s="121"/>
      <c r="S12" s="44" t="s">
        <v>403</v>
      </c>
    </row>
    <row r="13" spans="1:19" x14ac:dyDescent="0.2">
      <c r="A13" s="195"/>
      <c r="B13" s="195"/>
      <c r="C13" s="195"/>
      <c r="D13" s="121"/>
      <c r="E13" s="191"/>
      <c r="F13" s="121"/>
      <c r="G13" s="121"/>
      <c r="H13" s="121"/>
      <c r="I13" s="189" t="s">
        <v>419</v>
      </c>
      <c r="J13" s="195" t="s">
        <v>479</v>
      </c>
      <c r="K13" s="195" t="s">
        <v>26</v>
      </c>
      <c r="L13" s="195" t="s">
        <v>434</v>
      </c>
      <c r="M13" s="121" t="s">
        <v>26</v>
      </c>
      <c r="N13" s="199">
        <v>10982.89</v>
      </c>
      <c r="O13" s="198">
        <v>5</v>
      </c>
      <c r="P13" s="198">
        <v>4</v>
      </c>
      <c r="Q13" s="198">
        <v>1</v>
      </c>
      <c r="R13" s="189" t="s">
        <v>419</v>
      </c>
      <c r="S13" s="187" t="s">
        <v>9</v>
      </c>
    </row>
    <row r="14" spans="1:19" ht="15" customHeight="1" x14ac:dyDescent="0.2">
      <c r="A14" s="195"/>
      <c r="B14" s="195"/>
      <c r="C14" s="195"/>
      <c r="D14" s="121"/>
      <c r="E14" s="191"/>
      <c r="F14" s="121"/>
      <c r="G14" s="121"/>
      <c r="H14" s="121"/>
      <c r="I14" s="121"/>
      <c r="J14" s="195" t="s">
        <v>479</v>
      </c>
      <c r="K14" s="195" t="s">
        <v>26</v>
      </c>
      <c r="L14" s="195" t="s">
        <v>434</v>
      </c>
      <c r="M14" s="121" t="s">
        <v>38</v>
      </c>
      <c r="N14" s="196">
        <v>0</v>
      </c>
      <c r="O14" s="200">
        <v>0</v>
      </c>
      <c r="P14" s="200">
        <v>0</v>
      </c>
      <c r="Q14" s="200">
        <v>0</v>
      </c>
      <c r="R14" s="121"/>
      <c r="S14" s="44" t="s">
        <v>404</v>
      </c>
    </row>
    <row r="15" spans="1:19" ht="15" customHeight="1" x14ac:dyDescent="0.2">
      <c r="A15" s="195"/>
      <c r="B15" s="195"/>
      <c r="C15" s="195"/>
      <c r="D15" s="121"/>
      <c r="E15" s="191"/>
      <c r="F15" s="121"/>
      <c r="G15" s="121"/>
      <c r="H15" s="121"/>
      <c r="I15" s="189" t="s">
        <v>51</v>
      </c>
      <c r="J15" s="195" t="s">
        <v>479</v>
      </c>
      <c r="K15" s="195" t="s">
        <v>26</v>
      </c>
      <c r="L15" s="195" t="s">
        <v>434</v>
      </c>
      <c r="M15" s="121" t="s">
        <v>39</v>
      </c>
      <c r="N15" s="199">
        <v>220000</v>
      </c>
      <c r="O15" s="198">
        <v>20</v>
      </c>
      <c r="P15" s="198">
        <v>24</v>
      </c>
      <c r="Q15" s="198">
        <v>21</v>
      </c>
      <c r="R15" s="189" t="s">
        <v>51</v>
      </c>
      <c r="S15" s="187" t="s">
        <v>11</v>
      </c>
    </row>
    <row r="16" spans="1:19" x14ac:dyDescent="0.2">
      <c r="A16" s="195"/>
      <c r="B16" s="195"/>
      <c r="C16" s="195"/>
      <c r="D16" s="121"/>
      <c r="E16" s="191"/>
      <c r="F16" s="121"/>
      <c r="G16" s="121"/>
      <c r="H16" s="121"/>
      <c r="I16" s="189" t="s">
        <v>418</v>
      </c>
      <c r="J16" s="195" t="s">
        <v>479</v>
      </c>
      <c r="K16" s="195" t="s">
        <v>26</v>
      </c>
      <c r="L16" s="195" t="s">
        <v>434</v>
      </c>
      <c r="M16" s="121" t="s">
        <v>40</v>
      </c>
      <c r="N16" s="199">
        <v>0</v>
      </c>
      <c r="O16" s="198">
        <v>0</v>
      </c>
      <c r="P16" s="198">
        <v>0</v>
      </c>
      <c r="Q16" s="198">
        <v>0</v>
      </c>
      <c r="R16" s="189" t="s">
        <v>418</v>
      </c>
      <c r="S16" s="187" t="s">
        <v>405</v>
      </c>
    </row>
    <row r="17" spans="1:19" x14ac:dyDescent="0.2">
      <c r="A17" s="195"/>
      <c r="B17" s="195"/>
      <c r="C17" s="195"/>
      <c r="D17" s="121"/>
      <c r="E17" s="191"/>
      <c r="F17" s="121"/>
      <c r="G17" s="121"/>
      <c r="H17" s="121"/>
      <c r="I17" s="121"/>
      <c r="J17" s="195" t="s">
        <v>479</v>
      </c>
      <c r="K17" s="195" t="s">
        <v>26</v>
      </c>
      <c r="L17" s="195" t="s">
        <v>434</v>
      </c>
      <c r="M17" s="121" t="s">
        <v>41</v>
      </c>
      <c r="N17" s="196">
        <v>0</v>
      </c>
      <c r="O17" s="200">
        <v>0</v>
      </c>
      <c r="P17" s="200">
        <v>0</v>
      </c>
      <c r="Q17" s="200">
        <v>0</v>
      </c>
      <c r="R17" s="121"/>
      <c r="S17" s="44" t="s">
        <v>406</v>
      </c>
    </row>
    <row r="18" spans="1:19" ht="15" customHeight="1" x14ac:dyDescent="0.2">
      <c r="A18" s="195"/>
      <c r="B18" s="195"/>
      <c r="C18" s="195"/>
      <c r="D18" s="121"/>
      <c r="E18" s="191"/>
      <c r="F18" s="121"/>
      <c r="G18" s="121"/>
      <c r="H18" s="121"/>
      <c r="I18" s="189" t="s">
        <v>420</v>
      </c>
      <c r="J18" s="195" t="s">
        <v>479</v>
      </c>
      <c r="K18" s="195" t="s">
        <v>26</v>
      </c>
      <c r="L18" s="195" t="s">
        <v>434</v>
      </c>
      <c r="M18" s="121" t="s">
        <v>42</v>
      </c>
      <c r="N18" s="199">
        <v>0</v>
      </c>
      <c r="O18" s="198">
        <v>0</v>
      </c>
      <c r="P18" s="198">
        <v>0</v>
      </c>
      <c r="Q18" s="198">
        <v>0</v>
      </c>
      <c r="R18" s="189" t="s">
        <v>420</v>
      </c>
      <c r="S18" s="187" t="s">
        <v>376</v>
      </c>
    </row>
    <row r="19" spans="1:19" ht="15" customHeight="1" x14ac:dyDescent="0.2">
      <c r="A19" s="195"/>
      <c r="B19" s="195"/>
      <c r="C19" s="195"/>
      <c r="D19" s="121"/>
      <c r="E19" s="191"/>
      <c r="F19" s="121"/>
      <c r="G19" s="121"/>
      <c r="H19" s="121"/>
      <c r="I19" s="189" t="s">
        <v>416</v>
      </c>
      <c r="J19" s="195" t="s">
        <v>479</v>
      </c>
      <c r="K19" s="195" t="s">
        <v>26</v>
      </c>
      <c r="L19" s="195" t="s">
        <v>434</v>
      </c>
      <c r="M19" s="121" t="s">
        <v>43</v>
      </c>
      <c r="N19" s="199">
        <v>183382.32</v>
      </c>
      <c r="O19" s="198">
        <v>24</v>
      </c>
      <c r="P19" s="198">
        <v>20</v>
      </c>
      <c r="Q19" s="198">
        <v>6</v>
      </c>
      <c r="R19" s="189" t="s">
        <v>416</v>
      </c>
      <c r="S19" s="187" t="s">
        <v>377</v>
      </c>
    </row>
    <row r="20" spans="1:19" x14ac:dyDescent="0.2">
      <c r="A20" s="195"/>
      <c r="B20" s="195"/>
      <c r="C20" s="195"/>
      <c r="D20" s="121"/>
      <c r="E20" s="191"/>
      <c r="F20" s="121"/>
      <c r="G20" s="121"/>
      <c r="H20" s="121"/>
      <c r="I20" s="121"/>
      <c r="J20" s="195" t="s">
        <v>479</v>
      </c>
      <c r="K20" s="195" t="s">
        <v>26</v>
      </c>
      <c r="L20" s="195" t="s">
        <v>434</v>
      </c>
      <c r="M20" s="121" t="s">
        <v>44</v>
      </c>
      <c r="N20" s="196">
        <v>0</v>
      </c>
      <c r="O20" s="200">
        <v>0</v>
      </c>
      <c r="P20" s="200">
        <v>0</v>
      </c>
      <c r="Q20" s="200">
        <v>0</v>
      </c>
      <c r="R20" s="121"/>
      <c r="S20" s="44" t="s">
        <v>15</v>
      </c>
    </row>
    <row r="21" spans="1:19" x14ac:dyDescent="0.2">
      <c r="A21" s="195"/>
      <c r="B21" s="195"/>
      <c r="C21" s="195"/>
      <c r="D21" s="121"/>
      <c r="E21" s="191"/>
      <c r="F21" s="121"/>
      <c r="G21" s="121"/>
      <c r="H21" s="121"/>
      <c r="I21" s="186">
        <v>6</v>
      </c>
      <c r="J21" s="195" t="s">
        <v>479</v>
      </c>
      <c r="K21" s="195" t="s">
        <v>26</v>
      </c>
      <c r="L21" s="195" t="s">
        <v>434</v>
      </c>
      <c r="M21" s="121" t="s">
        <v>45</v>
      </c>
      <c r="N21" s="197">
        <v>1994090.2</v>
      </c>
      <c r="O21" s="198">
        <v>60</v>
      </c>
      <c r="P21" s="198">
        <v>66</v>
      </c>
      <c r="Q21" s="198">
        <v>59</v>
      </c>
      <c r="R21" s="186">
        <v>6</v>
      </c>
      <c r="S21" s="187" t="s">
        <v>16</v>
      </c>
    </row>
    <row r="22" spans="1:19" x14ac:dyDescent="0.2">
      <c r="A22" s="195"/>
      <c r="B22" s="195"/>
      <c r="C22" s="195"/>
      <c r="D22" s="121"/>
      <c r="E22" s="191"/>
      <c r="F22" s="121"/>
      <c r="G22" s="121"/>
      <c r="H22" s="121"/>
      <c r="I22" s="121"/>
      <c r="J22" s="195" t="s">
        <v>479</v>
      </c>
      <c r="K22" s="195" t="s">
        <v>26</v>
      </c>
      <c r="L22" s="195" t="s">
        <v>434</v>
      </c>
      <c r="M22" s="121" t="s">
        <v>46</v>
      </c>
      <c r="N22" s="196">
        <v>0</v>
      </c>
      <c r="O22" s="200">
        <v>0</v>
      </c>
      <c r="P22" s="200">
        <v>0</v>
      </c>
      <c r="Q22" s="200">
        <v>0</v>
      </c>
      <c r="R22" s="121"/>
      <c r="S22" s="44" t="s">
        <v>407</v>
      </c>
    </row>
    <row r="23" spans="1:19" ht="15" customHeight="1" x14ac:dyDescent="0.2">
      <c r="A23" s="195"/>
      <c r="B23" s="195"/>
      <c r="C23" s="195"/>
      <c r="D23" s="121"/>
      <c r="E23" s="191"/>
      <c r="F23" s="121"/>
      <c r="G23" s="121"/>
      <c r="H23" s="121"/>
      <c r="I23" s="186">
        <v>5</v>
      </c>
      <c r="J23" s="195" t="s">
        <v>479</v>
      </c>
      <c r="K23" s="195" t="s">
        <v>26</v>
      </c>
      <c r="L23" s="195" t="s">
        <v>434</v>
      </c>
      <c r="M23" s="121" t="s">
        <v>47</v>
      </c>
      <c r="N23" s="197">
        <v>902120.32</v>
      </c>
      <c r="O23" s="198">
        <v>25</v>
      </c>
      <c r="P23" s="198">
        <v>76</v>
      </c>
      <c r="Q23" s="198">
        <v>60</v>
      </c>
      <c r="R23" s="186">
        <v>5</v>
      </c>
      <c r="S23" s="187" t="s">
        <v>17</v>
      </c>
    </row>
    <row r="24" spans="1:19" ht="15" customHeight="1" x14ac:dyDescent="0.2">
      <c r="A24" s="195"/>
      <c r="B24" s="195"/>
      <c r="C24" s="195"/>
      <c r="D24" s="121"/>
      <c r="E24" s="191"/>
      <c r="F24" s="121"/>
      <c r="G24" s="121"/>
      <c r="H24" s="121"/>
      <c r="I24" s="45"/>
      <c r="J24" s="195" t="s">
        <v>479</v>
      </c>
      <c r="K24" s="195" t="s">
        <v>26</v>
      </c>
      <c r="L24" s="195" t="s">
        <v>434</v>
      </c>
      <c r="M24" s="121" t="s">
        <v>48</v>
      </c>
      <c r="N24" s="196">
        <v>0</v>
      </c>
      <c r="O24" s="200">
        <v>0</v>
      </c>
      <c r="P24" s="200">
        <v>0</v>
      </c>
      <c r="Q24" s="200">
        <v>0</v>
      </c>
      <c r="S24" s="44" t="s">
        <v>407</v>
      </c>
    </row>
    <row r="25" spans="1:19" ht="15" customHeight="1" x14ac:dyDescent="0.2">
      <c r="A25" s="195"/>
      <c r="B25" s="195"/>
      <c r="C25" s="195"/>
      <c r="D25" s="121"/>
      <c r="E25" s="191"/>
      <c r="F25" s="121"/>
      <c r="G25" s="121"/>
      <c r="H25" s="121"/>
      <c r="I25" s="45"/>
      <c r="J25" s="195" t="s">
        <v>479</v>
      </c>
      <c r="K25" s="195" t="s">
        <v>26</v>
      </c>
      <c r="L25" s="195" t="s">
        <v>434</v>
      </c>
      <c r="M25" s="121" t="s">
        <v>319</v>
      </c>
      <c r="N25" s="196">
        <v>0</v>
      </c>
      <c r="O25" s="200">
        <v>0</v>
      </c>
      <c r="P25" s="200">
        <v>0</v>
      </c>
      <c r="Q25" s="200">
        <v>0</v>
      </c>
      <c r="S25" s="44" t="s">
        <v>18</v>
      </c>
    </row>
    <row r="26" spans="1:19" ht="15" customHeight="1" x14ac:dyDescent="0.2">
      <c r="A26" s="195"/>
      <c r="B26" s="195"/>
      <c r="C26" s="195"/>
      <c r="D26" s="121"/>
      <c r="E26" s="191"/>
      <c r="F26" s="121"/>
      <c r="G26" s="121"/>
      <c r="H26" s="121"/>
      <c r="I26" s="190" t="s">
        <v>421</v>
      </c>
      <c r="J26" s="195" t="s">
        <v>479</v>
      </c>
      <c r="K26" s="195" t="s">
        <v>26</v>
      </c>
      <c r="L26" s="195" t="s">
        <v>434</v>
      </c>
      <c r="M26" s="121" t="s">
        <v>320</v>
      </c>
      <c r="N26" s="199">
        <v>0</v>
      </c>
      <c r="O26" s="198">
        <v>0</v>
      </c>
      <c r="P26" s="198">
        <v>0</v>
      </c>
      <c r="Q26" s="198">
        <v>0</v>
      </c>
      <c r="R26" s="190" t="s">
        <v>421</v>
      </c>
      <c r="S26" s="187" t="s">
        <v>358</v>
      </c>
    </row>
    <row r="27" spans="1:19" x14ac:dyDescent="0.2">
      <c r="A27" s="195"/>
      <c r="B27" s="195"/>
      <c r="C27" s="195"/>
      <c r="D27" s="121"/>
      <c r="E27" s="191"/>
      <c r="F27" s="121"/>
      <c r="G27" s="121"/>
      <c r="H27" s="121"/>
      <c r="I27" s="190" t="s">
        <v>415</v>
      </c>
      <c r="J27" s="195" t="s">
        <v>479</v>
      </c>
      <c r="K27" s="195" t="s">
        <v>26</v>
      </c>
      <c r="L27" s="195" t="s">
        <v>434</v>
      </c>
      <c r="M27" s="121" t="s">
        <v>321</v>
      </c>
      <c r="N27" s="199">
        <v>0</v>
      </c>
      <c r="O27" s="198">
        <v>0</v>
      </c>
      <c r="P27" s="198">
        <v>0</v>
      </c>
      <c r="Q27" s="198">
        <v>0</v>
      </c>
      <c r="R27" s="190" t="s">
        <v>415</v>
      </c>
      <c r="S27" s="187" t="s">
        <v>408</v>
      </c>
    </row>
    <row r="28" spans="1:19" x14ac:dyDescent="0.2">
      <c r="A28" s="195"/>
      <c r="B28" s="195"/>
      <c r="C28" s="195"/>
      <c r="D28" s="121"/>
      <c r="E28" s="191"/>
      <c r="F28" s="121"/>
      <c r="G28" s="121"/>
      <c r="H28" s="121"/>
      <c r="J28" s="195" t="s">
        <v>479</v>
      </c>
      <c r="K28" s="195" t="s">
        <v>26</v>
      </c>
      <c r="L28" s="195" t="s">
        <v>434</v>
      </c>
      <c r="M28" s="121" t="s">
        <v>322</v>
      </c>
      <c r="N28" s="196">
        <v>0</v>
      </c>
      <c r="O28" s="200">
        <v>0</v>
      </c>
      <c r="P28" s="200">
        <v>0</v>
      </c>
      <c r="Q28" s="200">
        <v>0</v>
      </c>
      <c r="S28" s="44" t="s">
        <v>215</v>
      </c>
    </row>
    <row r="29" spans="1:19" x14ac:dyDescent="0.2">
      <c r="A29" s="195"/>
      <c r="B29" s="195"/>
      <c r="C29" s="195"/>
      <c r="D29" s="121"/>
      <c r="E29" s="191"/>
      <c r="F29" s="121"/>
      <c r="G29" s="121"/>
      <c r="H29" s="121"/>
      <c r="J29" s="195" t="s">
        <v>479</v>
      </c>
      <c r="K29" s="195" t="s">
        <v>26</v>
      </c>
      <c r="L29" s="195" t="s">
        <v>434</v>
      </c>
      <c r="M29" s="121" t="s">
        <v>391</v>
      </c>
      <c r="N29" s="196">
        <v>0</v>
      </c>
      <c r="O29" s="200">
        <v>0</v>
      </c>
      <c r="P29" s="200">
        <v>0</v>
      </c>
      <c r="Q29" s="200">
        <v>0</v>
      </c>
      <c r="S29" s="44" t="s">
        <v>409</v>
      </c>
    </row>
    <row r="30" spans="1:19" ht="15" customHeight="1" x14ac:dyDescent="0.2">
      <c r="A30" s="195"/>
      <c r="B30" s="195"/>
      <c r="C30" s="195"/>
      <c r="D30" s="121"/>
      <c r="E30" s="191"/>
      <c r="F30" s="121"/>
      <c r="G30" s="121"/>
      <c r="H30" s="121"/>
      <c r="J30" s="195" t="s">
        <v>479</v>
      </c>
      <c r="K30" s="195" t="s">
        <v>26</v>
      </c>
      <c r="L30" s="195" t="s">
        <v>434</v>
      </c>
      <c r="M30" s="121" t="s">
        <v>392</v>
      </c>
      <c r="N30" s="196">
        <v>0</v>
      </c>
      <c r="O30" s="200">
        <v>0</v>
      </c>
      <c r="P30" s="200">
        <v>0</v>
      </c>
      <c r="Q30" s="200">
        <v>0</v>
      </c>
      <c r="S30" s="44" t="s">
        <v>410</v>
      </c>
    </row>
    <row r="31" spans="1:19" x14ac:dyDescent="0.2">
      <c r="A31" s="195"/>
      <c r="B31" s="195"/>
      <c r="C31" s="195"/>
      <c r="D31" s="121"/>
      <c r="E31" s="191"/>
      <c r="F31" s="121"/>
      <c r="G31" s="121"/>
      <c r="H31" s="121"/>
      <c r="J31" s="195" t="s">
        <v>479</v>
      </c>
      <c r="K31" s="195" t="s">
        <v>26</v>
      </c>
      <c r="L31" s="195" t="s">
        <v>434</v>
      </c>
      <c r="M31" s="121" t="s">
        <v>393</v>
      </c>
      <c r="N31" s="196">
        <v>0</v>
      </c>
      <c r="O31" s="200">
        <v>0</v>
      </c>
      <c r="P31" s="200">
        <v>0</v>
      </c>
      <c r="Q31" s="200">
        <v>0</v>
      </c>
      <c r="S31" s="44" t="s">
        <v>411</v>
      </c>
    </row>
    <row r="32" spans="1:19" x14ac:dyDescent="0.2">
      <c r="A32" s="195"/>
      <c r="B32" s="195"/>
      <c r="C32" s="195"/>
      <c r="D32" s="201"/>
      <c r="E32" s="202"/>
      <c r="F32" s="201"/>
      <c r="G32" s="201"/>
      <c r="H32" s="201"/>
      <c r="J32" s="195" t="s">
        <v>479</v>
      </c>
      <c r="K32" s="195" t="s">
        <v>26</v>
      </c>
      <c r="L32" s="195" t="s">
        <v>434</v>
      </c>
      <c r="M32" s="201" t="s">
        <v>394</v>
      </c>
      <c r="N32" s="203">
        <v>23279905.899999999</v>
      </c>
      <c r="O32" s="204">
        <v>1840</v>
      </c>
      <c r="P32" s="204">
        <v>1780</v>
      </c>
      <c r="Q32" s="204">
        <v>1360</v>
      </c>
      <c r="S32" s="185" t="s">
        <v>412</v>
      </c>
    </row>
    <row r="33" spans="1:19" x14ac:dyDescent="0.2">
      <c r="A33" s="195"/>
      <c r="B33" s="195"/>
      <c r="C33" s="195"/>
      <c r="D33" s="121"/>
      <c r="E33" s="191"/>
      <c r="F33" s="121"/>
      <c r="G33" s="121"/>
      <c r="H33" s="121"/>
      <c r="J33" s="195" t="s">
        <v>479</v>
      </c>
      <c r="K33" s="195" t="s">
        <v>26</v>
      </c>
      <c r="L33" s="195" t="s">
        <v>434</v>
      </c>
      <c r="M33" s="121" t="s">
        <v>49</v>
      </c>
      <c r="N33" s="196">
        <v>5000</v>
      </c>
      <c r="O33" s="200">
        <v>0</v>
      </c>
      <c r="P33" s="200">
        <v>0</v>
      </c>
      <c r="Q33" s="200">
        <v>0</v>
      </c>
      <c r="S33" s="44" t="s">
        <v>413</v>
      </c>
    </row>
    <row r="34" spans="1:19" x14ac:dyDescent="0.2">
      <c r="A34" s="195"/>
      <c r="B34" s="195"/>
      <c r="C34" s="195"/>
      <c r="D34" s="121"/>
      <c r="E34" s="191"/>
      <c r="F34" s="121"/>
      <c r="G34" s="121"/>
      <c r="H34" s="121"/>
      <c r="J34" s="195" t="s">
        <v>479</v>
      </c>
      <c r="K34" s="195" t="s">
        <v>26</v>
      </c>
      <c r="L34" s="195" t="s">
        <v>434</v>
      </c>
      <c r="M34" s="121" t="s">
        <v>50</v>
      </c>
      <c r="N34" s="196">
        <v>20</v>
      </c>
      <c r="O34" s="200">
        <v>0</v>
      </c>
      <c r="P34" s="200">
        <v>0</v>
      </c>
      <c r="Q34" s="200">
        <v>0</v>
      </c>
      <c r="S34" s="44" t="s">
        <v>414</v>
      </c>
    </row>
    <row r="35" spans="1:19" x14ac:dyDescent="0.2">
      <c r="D35" s="188" t="s">
        <v>89</v>
      </c>
      <c r="E35" s="192">
        <f>SUM(E3:E6,E21,E23)</f>
        <v>0</v>
      </c>
      <c r="F35" s="186">
        <f>SUM(F3:F6,F21,F23)</f>
        <v>0</v>
      </c>
      <c r="G35" s="186">
        <f>SUM(G3:G6,G21,G23)</f>
        <v>0</v>
      </c>
      <c r="H35" s="186">
        <f>SUM(H3:H6,H21,H23)</f>
        <v>0</v>
      </c>
      <c r="M35" s="188" t="s">
        <v>89</v>
      </c>
      <c r="N35" s="192">
        <f>SUM(N3:N6,N21,N23)</f>
        <v>11162935.859999999</v>
      </c>
      <c r="O35" s="186">
        <f>SUM(O3:O6,O21,O23)</f>
        <v>833</v>
      </c>
      <c r="P35" s="186">
        <f>SUM(P3:P6,P21,P23)</f>
        <v>804</v>
      </c>
      <c r="Q35" s="186">
        <f>SUM(Q3:Q6,Q21,Q23)</f>
        <v>651</v>
      </c>
    </row>
    <row r="36" spans="1:19" x14ac:dyDescent="0.2">
      <c r="D36" s="45" t="s">
        <v>99</v>
      </c>
      <c r="E36" s="94">
        <f>E3+E4+E5+E6+E21+E23</f>
        <v>0</v>
      </c>
      <c r="F36" s="121">
        <f>F3+F4+F5+F6+F21+F23</f>
        <v>0</v>
      </c>
      <c r="G36" s="121">
        <f>G3+G4+G5+G6+G21+G23</f>
        <v>0</v>
      </c>
      <c r="H36" s="121">
        <f>H3+H4+H5+H6+H21+H23</f>
        <v>0</v>
      </c>
      <c r="M36" s="45" t="s">
        <v>99</v>
      </c>
      <c r="N36" s="94">
        <f>N3+N4+N5+N6+N21+N23</f>
        <v>11162935.859999999</v>
      </c>
      <c r="O36" s="121">
        <f>O3+O4+O5+O6+O21+O23</f>
        <v>833</v>
      </c>
      <c r="P36" s="121">
        <f>P3+P4+P5+P6+P21+P23</f>
        <v>804</v>
      </c>
      <c r="Q36" s="121">
        <f>Q3+Q4+Q5+Q6+Q21+Q23</f>
        <v>651</v>
      </c>
    </row>
    <row r="37" spans="1:19" x14ac:dyDescent="0.2">
      <c r="D37" s="188" t="s">
        <v>272</v>
      </c>
      <c r="E37" s="192">
        <f>SUM(E3:E6,E15,E21,E23)</f>
        <v>0</v>
      </c>
      <c r="F37" s="186">
        <f>SUM(F3:F6,F15,F21,F23)</f>
        <v>0</v>
      </c>
      <c r="G37" s="186">
        <f>SUM(G3:G6,G15,G21,G23)</f>
        <v>0</v>
      </c>
      <c r="H37" s="186">
        <f>SUM(H3:H6,H15,H21,H23)</f>
        <v>0</v>
      </c>
      <c r="M37" s="188" t="s">
        <v>272</v>
      </c>
      <c r="N37" s="192">
        <f>SUM(N3:N6,N15,N21,N23)</f>
        <v>11382935.859999999</v>
      </c>
      <c r="O37" s="186">
        <f>SUM(O3:O6,O15,O21,O23)</f>
        <v>853</v>
      </c>
      <c r="P37" s="186">
        <f>SUM(P3:P6,P15,P21,P23)</f>
        <v>828</v>
      </c>
      <c r="Q37" s="186">
        <f>SUM(Q3:Q6,Q15,Q21,Q23)</f>
        <v>672</v>
      </c>
    </row>
    <row r="38" spans="1:19" x14ac:dyDescent="0.2">
      <c r="D38" s="45" t="s">
        <v>99</v>
      </c>
      <c r="E38" s="94">
        <f>E3+E4+E5+E6+E15+E21+E23</f>
        <v>0</v>
      </c>
      <c r="F38" s="121">
        <f>F3+F4+F5+F6+F15+F21+F23</f>
        <v>0</v>
      </c>
      <c r="G38" s="121">
        <f>G3+G4+G5+G6+G15+G21+G23</f>
        <v>0</v>
      </c>
      <c r="H38" s="121">
        <f>H3+H4+H5+H6+H15+H21+H23</f>
        <v>0</v>
      </c>
      <c r="M38" s="45" t="s">
        <v>99</v>
      </c>
      <c r="N38" s="94">
        <f>N3+N4+N5+N6+N15+N21+N23</f>
        <v>11382935.859999999</v>
      </c>
      <c r="O38" s="121">
        <f>O3+O4+O5+O6+O15+O21+O23</f>
        <v>853</v>
      </c>
      <c r="P38" s="121">
        <f>P3+P4+P5+P6+P15+P21+P23</f>
        <v>828</v>
      </c>
      <c r="Q38" s="121">
        <f>Q3+Q4+Q5+Q6+Q15+Q21+Q23</f>
        <v>672</v>
      </c>
    </row>
    <row r="39" spans="1:19" x14ac:dyDescent="0.2">
      <c r="D39" s="44"/>
      <c r="F39" s="45"/>
      <c r="G39" s="192" t="e">
        <f>SUM(H32)/G32*100</f>
        <v>#DIV/0!</v>
      </c>
      <c r="H39" s="193" t="e">
        <f>SUM(E32)/H32</f>
        <v>#DIV/0!</v>
      </c>
      <c r="P39" s="192">
        <f>SUM(Q32)/P32*100</f>
        <v>76.404494382022463</v>
      </c>
      <c r="Q39" s="193">
        <f>SUM(N32)/Q32</f>
        <v>17117.577867647058</v>
      </c>
    </row>
    <row r="40" spans="1:19" x14ac:dyDescent="0.2">
      <c r="D40" s="44"/>
      <c r="E40" s="196">
        <f>SUM(E3:E21,E23,E25:E31)</f>
        <v>0</v>
      </c>
      <c r="F40" s="200">
        <f>SUM(F3:F21,F23,F25:F31)</f>
        <v>0</v>
      </c>
      <c r="G40" s="200">
        <f>SUM(G3:G21,G23,G25:G31)</f>
        <v>0</v>
      </c>
      <c r="H40" s="200">
        <f>SUM(H3:H21,H23,H25:H31)</f>
        <v>0</v>
      </c>
      <c r="N40" s="196">
        <f>SUM(N3:N21,N23,N25:N31)</f>
        <v>11639952.949999999</v>
      </c>
      <c r="O40" s="200">
        <f>SUM(O3:O21,O23,O25:O31)</f>
        <v>920</v>
      </c>
      <c r="P40" s="200">
        <f>SUM(P3:P21,P23,P25:P31)</f>
        <v>890</v>
      </c>
      <c r="Q40" s="200">
        <f>SUM(Q3:Q21,Q23,Q25:Q31)</f>
        <v>680</v>
      </c>
    </row>
    <row r="41" spans="1:19" x14ac:dyDescent="0.2">
      <c r="D41" s="44"/>
      <c r="E41" s="191">
        <f>SUM(E2:E31)</f>
        <v>0</v>
      </c>
      <c r="F41" s="121">
        <f>SUM(F2:F31)</f>
        <v>0</v>
      </c>
      <c r="G41" s="121">
        <f>SUM(G2:G31)</f>
        <v>0</v>
      </c>
      <c r="H41" s="121">
        <f>SUM(H2:H31)</f>
        <v>0</v>
      </c>
      <c r="N41" s="191">
        <f>SUM(N2:N31)</f>
        <v>23279905.899999999</v>
      </c>
      <c r="O41" s="121">
        <f>SUM(O2:O31)</f>
        <v>1840</v>
      </c>
      <c r="P41" s="121">
        <f>SUM(P2:P31)</f>
        <v>1780</v>
      </c>
      <c r="Q41" s="121">
        <f>SUM(Q2:Q31)</f>
        <v>1360</v>
      </c>
    </row>
    <row r="43" spans="1:19" x14ac:dyDescent="0.2">
      <c r="E43" s="19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V40"/>
  <sheetViews>
    <sheetView zoomScale="80" zoomScaleNormal="80" workbookViewId="0">
      <selection activeCell="B1" sqref="B1"/>
    </sheetView>
  </sheetViews>
  <sheetFormatPr defaultRowHeight="14.25" x14ac:dyDescent="0.2"/>
  <cols>
    <col min="1" max="1" width="1.7109375" style="44" customWidth="1"/>
    <col min="2" max="2" width="5.5703125" style="44" customWidth="1"/>
    <col min="3" max="3" width="66.7109375" style="44" customWidth="1"/>
    <col min="4" max="4" width="10.85546875" style="44" customWidth="1"/>
    <col min="5" max="5" width="10.42578125" style="44" customWidth="1"/>
    <col min="6" max="6" width="10.140625" style="44" customWidth="1"/>
    <col min="7" max="8" width="14.42578125" style="44" customWidth="1"/>
    <col min="9" max="9" width="12.28515625" style="44" customWidth="1"/>
    <col min="10" max="10" width="14.5703125" style="44" customWidth="1"/>
    <col min="11" max="11" width="12.140625" style="44" customWidth="1"/>
    <col min="12" max="12" width="4" style="44" customWidth="1"/>
    <col min="13" max="13" width="4.28515625" style="44" customWidth="1"/>
    <col min="14" max="16" width="9.140625" style="44"/>
    <col min="17" max="18" width="9.5703125" style="44" bestFit="1" customWidth="1"/>
    <col min="19" max="19" width="9.140625" style="44"/>
    <col min="20" max="21" width="10.5703125" style="44" bestFit="1" customWidth="1"/>
    <col min="22" max="22" width="9.28515625" style="44" bestFit="1" customWidth="1"/>
    <col min="23" max="16384" width="9.140625" style="44"/>
  </cols>
  <sheetData>
    <row r="1" spans="2:22" x14ac:dyDescent="0.2">
      <c r="B1" s="96" t="s">
        <v>257</v>
      </c>
      <c r="D1" s="45"/>
      <c r="E1" s="45"/>
      <c r="F1" s="45"/>
      <c r="G1" s="382" t="s">
        <v>250</v>
      </c>
      <c r="H1" s="383" t="s">
        <v>248</v>
      </c>
      <c r="I1" s="45"/>
      <c r="J1" s="45"/>
      <c r="K1" s="45"/>
    </row>
    <row r="2" spans="2:22" x14ac:dyDescent="0.2">
      <c r="B2" s="363"/>
      <c r="C2" s="763" t="s">
        <v>296</v>
      </c>
      <c r="D2" s="358"/>
      <c r="E2" s="358"/>
      <c r="F2" s="358"/>
      <c r="G2" s="358"/>
      <c r="H2" s="358"/>
      <c r="I2" s="358"/>
      <c r="J2" s="358"/>
      <c r="K2" s="359"/>
    </row>
    <row r="3" spans="2:22" ht="66" customHeight="1" x14ac:dyDescent="0.2">
      <c r="B3" s="356"/>
      <c r="C3" s="764"/>
      <c r="D3" s="357" t="s">
        <v>102</v>
      </c>
      <c r="E3" s="357" t="s">
        <v>103</v>
      </c>
      <c r="F3" s="357" t="s">
        <v>104</v>
      </c>
      <c r="G3" s="367" t="s">
        <v>105</v>
      </c>
      <c r="H3" s="357" t="s">
        <v>227</v>
      </c>
      <c r="I3" s="357" t="s">
        <v>158</v>
      </c>
      <c r="J3" s="384" t="s">
        <v>177</v>
      </c>
      <c r="K3" s="360" t="s">
        <v>176</v>
      </c>
    </row>
    <row r="4" spans="2:22" ht="36" x14ac:dyDescent="0.2">
      <c r="B4" s="364" t="s">
        <v>100</v>
      </c>
      <c r="C4" s="764"/>
      <c r="D4" s="357"/>
      <c r="E4" s="357"/>
      <c r="F4" s="357"/>
      <c r="G4" s="357" t="s">
        <v>226</v>
      </c>
      <c r="H4" s="357" t="s">
        <v>225</v>
      </c>
      <c r="I4" s="357"/>
      <c r="J4" s="364"/>
      <c r="K4" s="357" t="s">
        <v>225</v>
      </c>
    </row>
    <row r="5" spans="2:22" x14ac:dyDescent="0.2">
      <c r="B5" s="365"/>
      <c r="C5" s="765"/>
      <c r="D5" s="361"/>
      <c r="E5" s="361"/>
      <c r="F5" s="361"/>
      <c r="G5" s="361"/>
      <c r="H5" s="361"/>
      <c r="I5" s="361"/>
      <c r="J5" s="361"/>
      <c r="K5" s="362"/>
      <c r="N5" s="60"/>
      <c r="O5" s="60"/>
      <c r="P5" s="61"/>
      <c r="Q5" s="60"/>
      <c r="R5" s="60"/>
      <c r="S5" s="61"/>
      <c r="T5" s="60"/>
      <c r="U5" s="60"/>
      <c r="V5" s="61"/>
    </row>
    <row r="6" spans="2:22" x14ac:dyDescent="0.2">
      <c r="B6" s="371">
        <v>1</v>
      </c>
      <c r="C6" s="373" t="s">
        <v>2</v>
      </c>
      <c r="D6" s="51">
        <f>SUM('z20'!F6)</f>
        <v>790</v>
      </c>
      <c r="E6" s="51">
        <f>SUM('z20'!G6)</f>
        <v>735</v>
      </c>
      <c r="F6" s="51">
        <f>SUM('z20'!H6)</f>
        <v>482</v>
      </c>
      <c r="G6" s="374">
        <f>SUM(F6/E6)*100</f>
        <v>65.578231292517003</v>
      </c>
      <c r="H6" s="374">
        <f>SUM(J6/F6)</f>
        <v>5806.0165975103737</v>
      </c>
      <c r="I6" s="374">
        <f>SUM('z20'!E6)</f>
        <v>2798.5</v>
      </c>
      <c r="J6" s="51">
        <f>SUM(I6*1000)</f>
        <v>2798500</v>
      </c>
      <c r="K6" s="370">
        <f>SUM(J6/D6)</f>
        <v>3542.4050632911394</v>
      </c>
      <c r="N6" s="60"/>
      <c r="O6" s="60"/>
      <c r="P6" s="61"/>
      <c r="Q6" s="60"/>
      <c r="R6" s="60"/>
      <c r="S6" s="60"/>
      <c r="T6" s="62"/>
      <c r="U6" s="62"/>
      <c r="V6" s="62"/>
    </row>
    <row r="7" spans="2:22" x14ac:dyDescent="0.2">
      <c r="B7" s="125">
        <v>2</v>
      </c>
      <c r="C7" s="338" t="s">
        <v>1</v>
      </c>
      <c r="D7" s="46">
        <f>SUM('z20'!F5)</f>
        <v>8841</v>
      </c>
      <c r="E7" s="46">
        <f>SUM('z20'!G5)</f>
        <v>5591</v>
      </c>
      <c r="F7" s="46">
        <f>SUM('z20'!H5)</f>
        <v>4590</v>
      </c>
      <c r="G7" s="126">
        <f t="shared" ref="G7:G11" si="0">SUM(F7/E7)*100</f>
        <v>82.096226077624763</v>
      </c>
      <c r="H7" s="126">
        <f t="shared" ref="H7:H8" si="1">SUM(J7/F7)</f>
        <v>10636.906318082789</v>
      </c>
      <c r="I7" s="126">
        <f>SUM('z20'!E5)</f>
        <v>48823.4</v>
      </c>
      <c r="J7" s="46">
        <f t="shared" ref="J7:J10" si="2">SUM(I7*1000)</f>
        <v>48823400</v>
      </c>
      <c r="K7" s="326">
        <f>SUM(J7/D7)</f>
        <v>5522.3843456622553</v>
      </c>
      <c r="N7" s="60"/>
      <c r="O7" s="60"/>
      <c r="P7" s="61"/>
      <c r="Q7" s="60"/>
      <c r="R7" s="60"/>
      <c r="S7" s="60"/>
      <c r="T7" s="62"/>
      <c r="U7" s="62"/>
      <c r="V7" s="62"/>
    </row>
    <row r="8" spans="2:22" x14ac:dyDescent="0.2">
      <c r="B8" s="125">
        <v>3</v>
      </c>
      <c r="C8" s="338" t="s">
        <v>3</v>
      </c>
      <c r="D8" s="46">
        <f>SUM('z20'!F7)</f>
        <v>4396</v>
      </c>
      <c r="E8" s="46">
        <f>SUM('z20'!G7)</f>
        <v>3330</v>
      </c>
      <c r="F8" s="46">
        <f>SUM('z20'!H7)</f>
        <v>3134</v>
      </c>
      <c r="G8" s="126">
        <f t="shared" si="0"/>
        <v>94.114114114114116</v>
      </c>
      <c r="H8" s="126">
        <f t="shared" si="1"/>
        <v>5170.7402680280793</v>
      </c>
      <c r="I8" s="126">
        <f>SUM('z20'!E7)</f>
        <v>16205.1</v>
      </c>
      <c r="J8" s="46">
        <f t="shared" si="2"/>
        <v>16205100</v>
      </c>
      <c r="K8" s="326">
        <f>SUM(J8/D8)</f>
        <v>3686.3284804367609</v>
      </c>
      <c r="N8" s="60"/>
      <c r="O8" s="60"/>
      <c r="P8" s="61"/>
      <c r="Q8" s="60"/>
      <c r="R8" s="60"/>
      <c r="S8" s="60"/>
      <c r="T8" s="62"/>
      <c r="U8" s="62"/>
      <c r="V8" s="62"/>
    </row>
    <row r="9" spans="2:22" x14ac:dyDescent="0.2">
      <c r="B9" s="125">
        <v>4</v>
      </c>
      <c r="C9" s="338" t="s">
        <v>4</v>
      </c>
      <c r="D9" s="46">
        <f>SUM('z20'!F8)</f>
        <v>1649</v>
      </c>
      <c r="E9" s="46">
        <f>SUM('z20'!G8)</f>
        <v>1465</v>
      </c>
      <c r="F9" s="46">
        <f>SUM('z20'!H8)</f>
        <v>1348</v>
      </c>
      <c r="G9" s="126">
        <f t="shared" si="0"/>
        <v>92.0136518771331</v>
      </c>
      <c r="H9" s="126">
        <f>SUM(J9/F9)</f>
        <v>12089.39169139466</v>
      </c>
      <c r="I9" s="126">
        <f>SUM('z20'!E8)</f>
        <v>16296.5</v>
      </c>
      <c r="J9" s="46">
        <f t="shared" si="2"/>
        <v>16296500</v>
      </c>
      <c r="K9" s="326">
        <f t="shared" ref="K9:K11" si="3">SUM(J9/D9)</f>
        <v>9882.6561552456042</v>
      </c>
      <c r="N9" s="60"/>
      <c r="O9" s="60"/>
      <c r="P9" s="61"/>
      <c r="Q9" s="60"/>
      <c r="R9" s="60"/>
      <c r="S9" s="60"/>
      <c r="T9" s="62"/>
      <c r="U9" s="62"/>
      <c r="V9" s="62"/>
    </row>
    <row r="10" spans="2:22" x14ac:dyDescent="0.2">
      <c r="B10" s="125">
        <v>5</v>
      </c>
      <c r="C10" s="338" t="s">
        <v>56</v>
      </c>
      <c r="D10" s="46">
        <f>SUM('z20'!F22)</f>
        <v>1764</v>
      </c>
      <c r="E10" s="46">
        <f>SUM('z20'!G22)</f>
        <v>2286</v>
      </c>
      <c r="F10" s="46">
        <f>SUM('z20'!H22)</f>
        <v>2256</v>
      </c>
      <c r="G10" s="126">
        <f t="shared" si="0"/>
        <v>98.687664041994751</v>
      </c>
      <c r="H10" s="126">
        <f>SUM(J10/F10)</f>
        <v>16038.785460992907</v>
      </c>
      <c r="I10" s="126">
        <f>SUM('z20'!E22)</f>
        <v>36183.5</v>
      </c>
      <c r="J10" s="46">
        <f t="shared" si="2"/>
        <v>36183500</v>
      </c>
      <c r="K10" s="326">
        <f t="shared" si="3"/>
        <v>20512.188208616779</v>
      </c>
      <c r="N10" s="60"/>
      <c r="O10" s="60"/>
      <c r="P10" s="61"/>
      <c r="Q10" s="60"/>
      <c r="R10" s="60"/>
      <c r="S10" s="60"/>
      <c r="T10" s="62"/>
      <c r="U10" s="62"/>
      <c r="V10" s="62"/>
    </row>
    <row r="11" spans="2:22" ht="15" customHeight="1" x14ac:dyDescent="0.2">
      <c r="B11" s="333">
        <v>6</v>
      </c>
      <c r="C11" s="339" t="s">
        <v>57</v>
      </c>
      <c r="D11" s="52">
        <f>SUM('z20'!F24)</f>
        <v>1409</v>
      </c>
      <c r="E11" s="52">
        <f>SUM('z20'!G24)</f>
        <v>1847</v>
      </c>
      <c r="F11" s="52">
        <f>SUM('z20'!H24)</f>
        <v>1689</v>
      </c>
      <c r="G11" s="354">
        <f t="shared" si="0"/>
        <v>91.445587439090417</v>
      </c>
      <c r="H11" s="354">
        <f>SUM(J11/F11)</f>
        <v>17460.272350503255</v>
      </c>
      <c r="I11" s="354">
        <f>SUM('z20'!E24)</f>
        <v>29490.400000000001</v>
      </c>
      <c r="J11" s="52">
        <f>SUM(I11*1000)</f>
        <v>29490400</v>
      </c>
      <c r="K11" s="329">
        <f t="shared" si="3"/>
        <v>20930.021291696237</v>
      </c>
      <c r="N11" s="60"/>
      <c r="O11" s="60"/>
      <c r="P11" s="61"/>
      <c r="Q11" s="60"/>
      <c r="R11" s="60"/>
      <c r="S11" s="60"/>
      <c r="T11" s="62"/>
      <c r="U11" s="62"/>
      <c r="V11" s="62"/>
    </row>
    <row r="12" spans="2:22" ht="15" customHeight="1" x14ac:dyDescent="0.2">
      <c r="B12" s="333">
        <v>7</v>
      </c>
      <c r="C12" s="339" t="s">
        <v>11</v>
      </c>
      <c r="D12" s="52">
        <f>SUM('z20'!F17)</f>
        <v>915</v>
      </c>
      <c r="E12" s="52">
        <f>SUM('z20'!G17)</f>
        <v>1192</v>
      </c>
      <c r="F12" s="52">
        <f>SUM('z20'!H17)</f>
        <v>1100</v>
      </c>
      <c r="G12" s="354">
        <f t="shared" ref="G12" si="4">SUM(F12/E12)*100</f>
        <v>92.281879194630861</v>
      </c>
      <c r="H12" s="354">
        <f t="shared" ref="H12" si="5">SUM(J12/F12)</f>
        <v>6313.181818181818</v>
      </c>
      <c r="I12" s="354">
        <f>SUM('z20'!E17)</f>
        <v>6944.5</v>
      </c>
      <c r="J12" s="52">
        <f>SUM(I12*1000)</f>
        <v>6944500</v>
      </c>
      <c r="K12" s="329">
        <f>SUM(J12/D12)</f>
        <v>7589.6174863387978</v>
      </c>
      <c r="N12" s="60"/>
      <c r="O12" s="60"/>
      <c r="P12" s="61"/>
      <c r="Q12" s="60"/>
      <c r="R12" s="60"/>
      <c r="S12" s="60"/>
      <c r="T12" s="62"/>
      <c r="U12" s="62"/>
      <c r="V12" s="62"/>
    </row>
    <row r="13" spans="2:22" x14ac:dyDescent="0.2">
      <c r="B13" s="376">
        <v>8</v>
      </c>
      <c r="C13" s="377" t="s">
        <v>280</v>
      </c>
      <c r="D13" s="378">
        <f>SUM(D6:D11)</f>
        <v>18849</v>
      </c>
      <c r="E13" s="378">
        <f>SUM(E6:E11)</f>
        <v>15254</v>
      </c>
      <c r="F13" s="378">
        <f>SUM(F6:F11)</f>
        <v>13499</v>
      </c>
      <c r="G13" s="379">
        <f>SUM(F13/E13)*100</f>
        <v>88.49482103054936</v>
      </c>
      <c r="H13" s="379">
        <f>SUM(J13/F13)</f>
        <v>11096.925698199866</v>
      </c>
      <c r="I13" s="379">
        <f>SUM(I6:I11)</f>
        <v>149797.4</v>
      </c>
      <c r="J13" s="378">
        <f>SUM(I13*1000)</f>
        <v>149797400</v>
      </c>
      <c r="K13" s="381">
        <f>SUM(J13/D13)</f>
        <v>7947.2332749747993</v>
      </c>
      <c r="N13" s="60"/>
      <c r="O13" s="60"/>
      <c r="P13" s="61"/>
      <c r="Q13" s="60"/>
      <c r="R13" s="60"/>
      <c r="S13" s="60"/>
      <c r="T13" s="62"/>
      <c r="U13" s="62"/>
      <c r="V13" s="62"/>
    </row>
    <row r="14" spans="2:22" x14ac:dyDescent="0.2">
      <c r="B14" s="375">
        <v>9</v>
      </c>
      <c r="C14" s="373" t="s">
        <v>284</v>
      </c>
      <c r="D14" s="51">
        <f>SUM(D6:D12)</f>
        <v>19764</v>
      </c>
      <c r="E14" s="51">
        <f>SUM(E6:E12)</f>
        <v>16446</v>
      </c>
      <c r="F14" s="51">
        <f>SUM(F6:F12)</f>
        <v>14599</v>
      </c>
      <c r="G14" s="374">
        <f>SUM(F14/E14)*100</f>
        <v>88.769305606226439</v>
      </c>
      <c r="H14" s="374">
        <f>SUM(J14/F14)</f>
        <v>10736.48195081855</v>
      </c>
      <c r="I14" s="374">
        <f>SUM(I6:I12)</f>
        <v>156741.9</v>
      </c>
      <c r="J14" s="51">
        <f>SUM(I14*1000)</f>
        <v>156741900</v>
      </c>
      <c r="K14" s="370">
        <f>SUM(J14/D14)</f>
        <v>7930.6769884638734</v>
      </c>
      <c r="N14" s="61"/>
      <c r="O14" s="61"/>
      <c r="P14" s="61"/>
      <c r="Q14" s="62"/>
      <c r="R14" s="62"/>
      <c r="S14" s="60"/>
      <c r="T14" s="62"/>
      <c r="U14" s="62"/>
      <c r="V14" s="60"/>
    </row>
    <row r="15" spans="2:22" x14ac:dyDescent="0.2">
      <c r="N15" s="61"/>
      <c r="O15" s="61"/>
      <c r="P15" s="61"/>
      <c r="Q15" s="62"/>
      <c r="R15" s="62"/>
      <c r="S15" s="60"/>
      <c r="T15" s="62"/>
      <c r="U15" s="62"/>
      <c r="V15" s="60"/>
    </row>
    <row r="16" spans="2:22" x14ac:dyDescent="0.2">
      <c r="D16" s="181">
        <v>84035.75</v>
      </c>
      <c r="I16" s="49"/>
      <c r="J16" s="48"/>
    </row>
    <row r="17" spans="4:10" x14ac:dyDescent="0.2">
      <c r="D17" s="94">
        <f>SUM(D13)/D16*100</f>
        <v>22.42973972386752</v>
      </c>
      <c r="I17" s="49"/>
      <c r="J17" s="50"/>
    </row>
    <row r="18" spans="4:10" x14ac:dyDescent="0.2">
      <c r="D18" s="94">
        <f>SUM(D6:D11)</f>
        <v>18849</v>
      </c>
      <c r="I18" s="50"/>
      <c r="J18" s="55"/>
    </row>
    <row r="19" spans="4:10" ht="12" customHeight="1" x14ac:dyDescent="0.2">
      <c r="D19" s="94">
        <f>SUM(E6:E11)</f>
        <v>15254</v>
      </c>
      <c r="I19" s="50"/>
      <c r="J19" s="55"/>
    </row>
    <row r="20" spans="4:10" x14ac:dyDescent="0.2">
      <c r="D20" s="94">
        <f>SUM(D19)/D18*100</f>
        <v>80.927370152262725</v>
      </c>
      <c r="G20" s="47"/>
      <c r="I20" s="50"/>
      <c r="J20" s="55"/>
    </row>
    <row r="21" spans="4:10" x14ac:dyDescent="0.2">
      <c r="D21" s="94">
        <f>SUM(D7)/D13*100</f>
        <v>46.90434505809327</v>
      </c>
      <c r="G21" s="47"/>
      <c r="I21" s="50"/>
      <c r="J21" s="55"/>
    </row>
    <row r="22" spans="4:10" ht="16.5" customHeight="1" x14ac:dyDescent="0.2">
      <c r="G22" s="47"/>
      <c r="I22" s="50"/>
      <c r="J22" s="55"/>
    </row>
    <row r="23" spans="4:10" ht="15" customHeight="1" x14ac:dyDescent="0.2">
      <c r="F23" s="47"/>
      <c r="G23" s="47"/>
      <c r="I23" s="50"/>
      <c r="J23" s="55"/>
    </row>
    <row r="24" spans="4:10" ht="15" customHeight="1" x14ac:dyDescent="0.2">
      <c r="G24" s="47"/>
    </row>
    <row r="25" spans="4:10" ht="18.75" customHeight="1" x14ac:dyDescent="0.2">
      <c r="G25" s="47"/>
    </row>
    <row r="26" spans="4:10" ht="15.75" customHeight="1" x14ac:dyDescent="0.2">
      <c r="G26" s="47"/>
    </row>
    <row r="27" spans="4:10" ht="18" customHeight="1" x14ac:dyDescent="0.2"/>
    <row r="28" spans="4:10" ht="15" customHeight="1" x14ac:dyDescent="0.2"/>
    <row r="33" ht="63" customHeight="1" x14ac:dyDescent="0.2"/>
    <row r="36" ht="15" customHeight="1" x14ac:dyDescent="0.2"/>
    <row r="37" ht="18.75" customHeight="1" x14ac:dyDescent="0.2"/>
    <row r="38" ht="15.75" customHeight="1" x14ac:dyDescent="0.2"/>
    <row r="39" ht="14.25" customHeight="1" x14ac:dyDescent="0.2"/>
    <row r="40" ht="12" customHeight="1" x14ac:dyDescent="0.2"/>
  </sheetData>
  <mergeCells count="1">
    <mergeCell ref="C2:C5"/>
  </mergeCell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Arkusz34">
    <tabColor theme="0"/>
  </sheetPr>
  <dimension ref="A1:S41"/>
  <sheetViews>
    <sheetView zoomScale="80" zoomScaleNormal="80" workbookViewId="0">
      <selection activeCell="J6" sqref="J6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195" t="s">
        <v>22</v>
      </c>
      <c r="B1" s="195" t="s">
        <v>23</v>
      </c>
      <c r="C1" s="195" t="s">
        <v>24</v>
      </c>
      <c r="D1" s="121" t="s">
        <v>25</v>
      </c>
      <c r="E1" s="193" t="s">
        <v>387</v>
      </c>
      <c r="F1" s="191" t="s">
        <v>388</v>
      </c>
      <c r="G1" s="191" t="s">
        <v>389</v>
      </c>
      <c r="H1" s="191" t="s">
        <v>390</v>
      </c>
      <c r="J1" s="195" t="s">
        <v>22</v>
      </c>
      <c r="K1" s="195" t="s">
        <v>23</v>
      </c>
      <c r="L1" s="195" t="s">
        <v>24</v>
      </c>
      <c r="M1" s="121" t="s">
        <v>25</v>
      </c>
      <c r="N1" s="193" t="s">
        <v>387</v>
      </c>
      <c r="O1" s="191" t="s">
        <v>388</v>
      </c>
      <c r="P1" s="191" t="s">
        <v>389</v>
      </c>
      <c r="Q1" s="191" t="s">
        <v>390</v>
      </c>
    </row>
    <row r="2" spans="1:19" ht="15" customHeight="1" x14ac:dyDescent="0.2">
      <c r="A2" s="195"/>
      <c r="B2" s="195"/>
      <c r="C2" s="195"/>
      <c r="D2" s="121"/>
      <c r="E2" s="191"/>
      <c r="F2" s="121"/>
      <c r="G2" s="121"/>
      <c r="H2" s="121"/>
      <c r="J2" s="195" t="s">
        <v>479</v>
      </c>
      <c r="K2" s="195" t="s">
        <v>26</v>
      </c>
      <c r="L2" s="195" t="s">
        <v>433</v>
      </c>
      <c r="M2" s="121" t="s">
        <v>27</v>
      </c>
      <c r="N2" s="196">
        <v>7509132.1699999999</v>
      </c>
      <c r="O2" s="200">
        <v>743</v>
      </c>
      <c r="P2" s="200">
        <v>633</v>
      </c>
      <c r="Q2" s="200">
        <v>532</v>
      </c>
      <c r="S2" s="44" t="s">
        <v>395</v>
      </c>
    </row>
    <row r="3" spans="1:19" x14ac:dyDescent="0.2">
      <c r="A3" s="195"/>
      <c r="B3" s="195"/>
      <c r="C3" s="195"/>
      <c r="D3" s="121"/>
      <c r="E3" s="191"/>
      <c r="F3" s="121"/>
      <c r="G3" s="121"/>
      <c r="H3" s="121"/>
      <c r="I3" s="186">
        <v>1</v>
      </c>
      <c r="J3" s="195" t="s">
        <v>479</v>
      </c>
      <c r="K3" s="195" t="s">
        <v>26</v>
      </c>
      <c r="L3" s="195" t="s">
        <v>433</v>
      </c>
      <c r="M3" s="121" t="s">
        <v>28</v>
      </c>
      <c r="N3" s="197">
        <v>3385893.77</v>
      </c>
      <c r="O3" s="198">
        <v>320</v>
      </c>
      <c r="P3" s="198">
        <v>276</v>
      </c>
      <c r="Q3" s="198">
        <v>236</v>
      </c>
      <c r="R3" s="186">
        <v>1</v>
      </c>
      <c r="S3" s="187" t="s">
        <v>396</v>
      </c>
    </row>
    <row r="4" spans="1:19" x14ac:dyDescent="0.2">
      <c r="A4" s="195"/>
      <c r="B4" s="195"/>
      <c r="C4" s="195"/>
      <c r="D4" s="121"/>
      <c r="E4" s="191"/>
      <c r="F4" s="121"/>
      <c r="G4" s="121"/>
      <c r="H4" s="121"/>
      <c r="I4" s="186">
        <v>2</v>
      </c>
      <c r="J4" s="195" t="s">
        <v>479</v>
      </c>
      <c r="K4" s="195" t="s">
        <v>26</v>
      </c>
      <c r="L4" s="195" t="s">
        <v>433</v>
      </c>
      <c r="M4" s="121" t="s">
        <v>29</v>
      </c>
      <c r="N4" s="197">
        <v>19570.580000000002</v>
      </c>
      <c r="O4" s="198">
        <v>2</v>
      </c>
      <c r="P4" s="198">
        <v>2</v>
      </c>
      <c r="Q4" s="198">
        <v>2</v>
      </c>
      <c r="R4" s="186">
        <v>2</v>
      </c>
      <c r="S4" s="187" t="s">
        <v>397</v>
      </c>
    </row>
    <row r="5" spans="1:19" x14ac:dyDescent="0.2">
      <c r="A5" s="195"/>
      <c r="B5" s="195"/>
      <c r="C5" s="195"/>
      <c r="D5" s="121"/>
      <c r="E5" s="191"/>
      <c r="F5" s="121"/>
      <c r="G5" s="121"/>
      <c r="H5" s="121"/>
      <c r="I5" s="186">
        <v>3</v>
      </c>
      <c r="J5" s="195" t="s">
        <v>479</v>
      </c>
      <c r="K5" s="195" t="s">
        <v>26</v>
      </c>
      <c r="L5" s="195" t="s">
        <v>433</v>
      </c>
      <c r="M5" s="121" t="s">
        <v>30</v>
      </c>
      <c r="N5" s="197">
        <v>1762696.36</v>
      </c>
      <c r="O5" s="198">
        <v>219</v>
      </c>
      <c r="P5" s="198">
        <v>150</v>
      </c>
      <c r="Q5" s="198">
        <v>148</v>
      </c>
      <c r="R5" s="186">
        <v>3</v>
      </c>
      <c r="S5" s="187" t="s">
        <v>399</v>
      </c>
    </row>
    <row r="6" spans="1:19" x14ac:dyDescent="0.2">
      <c r="A6" s="195"/>
      <c r="B6" s="195"/>
      <c r="C6" s="195"/>
      <c r="D6" s="121"/>
      <c r="E6" s="191"/>
      <c r="F6" s="121"/>
      <c r="G6" s="121"/>
      <c r="H6" s="121"/>
      <c r="I6" s="186">
        <v>4</v>
      </c>
      <c r="J6" s="195" t="s">
        <v>479</v>
      </c>
      <c r="K6" s="195" t="s">
        <v>26</v>
      </c>
      <c r="L6" s="195" t="s">
        <v>433</v>
      </c>
      <c r="M6" s="121" t="s">
        <v>31</v>
      </c>
      <c r="N6" s="197">
        <v>532263.63</v>
      </c>
      <c r="O6" s="198">
        <v>24</v>
      </c>
      <c r="P6" s="198">
        <v>24</v>
      </c>
      <c r="Q6" s="198">
        <v>24</v>
      </c>
      <c r="R6" s="186">
        <v>4</v>
      </c>
      <c r="S6" s="187" t="s">
        <v>398</v>
      </c>
    </row>
    <row r="7" spans="1:19" x14ac:dyDescent="0.2">
      <c r="A7" s="195"/>
      <c r="B7" s="195"/>
      <c r="C7" s="195"/>
      <c r="D7" s="121"/>
      <c r="E7" s="191"/>
      <c r="F7" s="121"/>
      <c r="G7" s="121"/>
      <c r="H7" s="121"/>
      <c r="I7" s="189" t="s">
        <v>417</v>
      </c>
      <c r="J7" s="195" t="s">
        <v>479</v>
      </c>
      <c r="K7" s="195" t="s">
        <v>26</v>
      </c>
      <c r="L7" s="195" t="s">
        <v>433</v>
      </c>
      <c r="M7" s="121" t="s">
        <v>32</v>
      </c>
      <c r="N7" s="199">
        <v>98805.6</v>
      </c>
      <c r="O7" s="198">
        <v>57</v>
      </c>
      <c r="P7" s="198">
        <v>47</v>
      </c>
      <c r="Q7" s="198">
        <v>2</v>
      </c>
      <c r="R7" s="189" t="s">
        <v>417</v>
      </c>
      <c r="S7" s="187" t="s">
        <v>400</v>
      </c>
    </row>
    <row r="8" spans="1:19" x14ac:dyDescent="0.2">
      <c r="A8" s="195"/>
      <c r="B8" s="195"/>
      <c r="C8" s="195"/>
      <c r="D8" s="121"/>
      <c r="E8" s="191"/>
      <c r="F8" s="121"/>
      <c r="G8" s="121"/>
      <c r="H8" s="121"/>
      <c r="I8" s="121"/>
      <c r="J8" s="195" t="s">
        <v>479</v>
      </c>
      <c r="K8" s="195" t="s">
        <v>26</v>
      </c>
      <c r="L8" s="195" t="s">
        <v>433</v>
      </c>
      <c r="M8" s="121" t="s">
        <v>33</v>
      </c>
      <c r="N8" s="196">
        <v>0</v>
      </c>
      <c r="O8" s="200">
        <v>0</v>
      </c>
      <c r="P8" s="200">
        <v>0</v>
      </c>
      <c r="Q8" s="200">
        <v>0</v>
      </c>
      <c r="R8" s="121"/>
      <c r="S8" s="44" t="s">
        <v>401</v>
      </c>
    </row>
    <row r="9" spans="1:19" x14ac:dyDescent="0.2">
      <c r="A9" s="195"/>
      <c r="B9" s="195"/>
      <c r="C9" s="195"/>
      <c r="D9" s="121"/>
      <c r="E9" s="191"/>
      <c r="F9" s="121"/>
      <c r="G9" s="121"/>
      <c r="H9" s="121"/>
      <c r="I9" s="121"/>
      <c r="J9" s="195" t="s">
        <v>479</v>
      </c>
      <c r="K9" s="195" t="s">
        <v>26</v>
      </c>
      <c r="L9" s="195" t="s">
        <v>433</v>
      </c>
      <c r="M9" s="121" t="s">
        <v>34</v>
      </c>
      <c r="N9" s="196">
        <v>0</v>
      </c>
      <c r="O9" s="200">
        <v>0</v>
      </c>
      <c r="P9" s="200">
        <v>0</v>
      </c>
      <c r="Q9" s="200">
        <v>0</v>
      </c>
      <c r="R9" s="121"/>
      <c r="S9" s="44" t="s">
        <v>6</v>
      </c>
    </row>
    <row r="10" spans="1:19" ht="15" customHeight="1" x14ac:dyDescent="0.2">
      <c r="A10" s="195"/>
      <c r="B10" s="195"/>
      <c r="C10" s="195"/>
      <c r="D10" s="121"/>
      <c r="E10" s="191"/>
      <c r="F10" s="121"/>
      <c r="G10" s="121"/>
      <c r="H10" s="121"/>
      <c r="I10" s="121"/>
      <c r="J10" s="195" t="s">
        <v>479</v>
      </c>
      <c r="K10" s="195" t="s">
        <v>26</v>
      </c>
      <c r="L10" s="195" t="s">
        <v>433</v>
      </c>
      <c r="M10" s="121" t="s">
        <v>35</v>
      </c>
      <c r="N10" s="196">
        <v>0</v>
      </c>
      <c r="O10" s="200">
        <v>0</v>
      </c>
      <c r="P10" s="200">
        <v>0</v>
      </c>
      <c r="Q10" s="200">
        <v>0</v>
      </c>
      <c r="R10" s="121"/>
      <c r="S10" s="44" t="s">
        <v>402</v>
      </c>
    </row>
    <row r="11" spans="1:19" ht="15" customHeight="1" x14ac:dyDescent="0.2">
      <c r="A11" s="195"/>
      <c r="B11" s="195"/>
      <c r="C11" s="195"/>
      <c r="D11" s="121"/>
      <c r="E11" s="191"/>
      <c r="F11" s="121"/>
      <c r="G11" s="121"/>
      <c r="H11" s="121"/>
      <c r="I11" s="121"/>
      <c r="J11" s="195" t="s">
        <v>479</v>
      </c>
      <c r="K11" s="195" t="s">
        <v>26</v>
      </c>
      <c r="L11" s="195" t="s">
        <v>433</v>
      </c>
      <c r="M11" s="121" t="s">
        <v>36</v>
      </c>
      <c r="N11" s="196">
        <v>0</v>
      </c>
      <c r="O11" s="200">
        <v>0</v>
      </c>
      <c r="P11" s="200">
        <v>0</v>
      </c>
      <c r="Q11" s="200">
        <v>0</v>
      </c>
      <c r="R11" s="121"/>
      <c r="S11" s="44" t="s">
        <v>8</v>
      </c>
    </row>
    <row r="12" spans="1:19" x14ac:dyDescent="0.2">
      <c r="A12" s="195"/>
      <c r="B12" s="195"/>
      <c r="C12" s="195"/>
      <c r="D12" s="121"/>
      <c r="E12" s="191"/>
      <c r="F12" s="121"/>
      <c r="G12" s="121"/>
      <c r="H12" s="121"/>
      <c r="I12" s="121"/>
      <c r="J12" s="195" t="s">
        <v>479</v>
      </c>
      <c r="K12" s="195" t="s">
        <v>26</v>
      </c>
      <c r="L12" s="195" t="s">
        <v>433</v>
      </c>
      <c r="M12" s="121" t="s">
        <v>37</v>
      </c>
      <c r="N12" s="196">
        <v>0</v>
      </c>
      <c r="O12" s="200">
        <v>0</v>
      </c>
      <c r="P12" s="200">
        <v>0</v>
      </c>
      <c r="Q12" s="200">
        <v>0</v>
      </c>
      <c r="R12" s="121"/>
      <c r="S12" s="44" t="s">
        <v>403</v>
      </c>
    </row>
    <row r="13" spans="1:19" x14ac:dyDescent="0.2">
      <c r="A13" s="195"/>
      <c r="B13" s="195"/>
      <c r="C13" s="195"/>
      <c r="D13" s="121"/>
      <c r="E13" s="191"/>
      <c r="F13" s="121"/>
      <c r="G13" s="121"/>
      <c r="H13" s="121"/>
      <c r="I13" s="189" t="s">
        <v>419</v>
      </c>
      <c r="J13" s="195" t="s">
        <v>479</v>
      </c>
      <c r="K13" s="195" t="s">
        <v>26</v>
      </c>
      <c r="L13" s="195" t="s">
        <v>433</v>
      </c>
      <c r="M13" s="121" t="s">
        <v>26</v>
      </c>
      <c r="N13" s="199">
        <v>0</v>
      </c>
      <c r="O13" s="198">
        <v>0</v>
      </c>
      <c r="P13" s="198">
        <v>0</v>
      </c>
      <c r="Q13" s="198">
        <v>0</v>
      </c>
      <c r="R13" s="189" t="s">
        <v>419</v>
      </c>
      <c r="S13" s="187" t="s">
        <v>9</v>
      </c>
    </row>
    <row r="14" spans="1:19" ht="15" customHeight="1" x14ac:dyDescent="0.2">
      <c r="A14" s="195"/>
      <c r="B14" s="195"/>
      <c r="C14" s="195"/>
      <c r="D14" s="121"/>
      <c r="E14" s="191"/>
      <c r="F14" s="121"/>
      <c r="G14" s="121"/>
      <c r="H14" s="121"/>
      <c r="I14" s="121"/>
      <c r="J14" s="195" t="s">
        <v>479</v>
      </c>
      <c r="K14" s="195" t="s">
        <v>26</v>
      </c>
      <c r="L14" s="195" t="s">
        <v>433</v>
      </c>
      <c r="M14" s="121" t="s">
        <v>38</v>
      </c>
      <c r="N14" s="196">
        <v>0</v>
      </c>
      <c r="O14" s="200">
        <v>0</v>
      </c>
      <c r="P14" s="200">
        <v>0</v>
      </c>
      <c r="Q14" s="200">
        <v>0</v>
      </c>
      <c r="R14" s="121"/>
      <c r="S14" s="44" t="s">
        <v>404</v>
      </c>
    </row>
    <row r="15" spans="1:19" ht="15" customHeight="1" x14ac:dyDescent="0.2">
      <c r="A15" s="195"/>
      <c r="B15" s="195"/>
      <c r="C15" s="195"/>
      <c r="D15" s="121"/>
      <c r="E15" s="191"/>
      <c r="F15" s="121"/>
      <c r="G15" s="121"/>
      <c r="H15" s="121"/>
      <c r="I15" s="189" t="s">
        <v>51</v>
      </c>
      <c r="J15" s="195" t="s">
        <v>479</v>
      </c>
      <c r="K15" s="195" t="s">
        <v>26</v>
      </c>
      <c r="L15" s="195" t="s">
        <v>433</v>
      </c>
      <c r="M15" s="121" t="s">
        <v>39</v>
      </c>
      <c r="N15" s="199">
        <v>670850</v>
      </c>
      <c r="O15" s="198">
        <v>77</v>
      </c>
      <c r="P15" s="198">
        <v>72</v>
      </c>
      <c r="Q15" s="198">
        <v>65</v>
      </c>
      <c r="R15" s="189" t="s">
        <v>51</v>
      </c>
      <c r="S15" s="187" t="s">
        <v>11</v>
      </c>
    </row>
    <row r="16" spans="1:19" x14ac:dyDescent="0.2">
      <c r="A16" s="195"/>
      <c r="B16" s="195"/>
      <c r="C16" s="195"/>
      <c r="D16" s="121"/>
      <c r="E16" s="191"/>
      <c r="F16" s="121"/>
      <c r="G16" s="121"/>
      <c r="H16" s="121"/>
      <c r="I16" s="189" t="s">
        <v>418</v>
      </c>
      <c r="J16" s="195" t="s">
        <v>479</v>
      </c>
      <c r="K16" s="195" t="s">
        <v>26</v>
      </c>
      <c r="L16" s="195" t="s">
        <v>433</v>
      </c>
      <c r="M16" s="121" t="s">
        <v>40</v>
      </c>
      <c r="N16" s="199">
        <v>271448.78000000003</v>
      </c>
      <c r="O16" s="198">
        <v>20</v>
      </c>
      <c r="P16" s="198">
        <v>12</v>
      </c>
      <c r="Q16" s="198">
        <v>12</v>
      </c>
      <c r="R16" s="189" t="s">
        <v>418</v>
      </c>
      <c r="S16" s="187" t="s">
        <v>405</v>
      </c>
    </row>
    <row r="17" spans="1:19" x14ac:dyDescent="0.2">
      <c r="A17" s="195"/>
      <c r="B17" s="195"/>
      <c r="C17" s="195"/>
      <c r="D17" s="121"/>
      <c r="E17" s="191"/>
      <c r="F17" s="121"/>
      <c r="G17" s="121"/>
      <c r="H17" s="121"/>
      <c r="I17" s="121"/>
      <c r="J17" s="195" t="s">
        <v>479</v>
      </c>
      <c r="K17" s="195" t="s">
        <v>26</v>
      </c>
      <c r="L17" s="195" t="s">
        <v>433</v>
      </c>
      <c r="M17" s="121" t="s">
        <v>41</v>
      </c>
      <c r="N17" s="196">
        <v>0</v>
      </c>
      <c r="O17" s="200">
        <v>0</v>
      </c>
      <c r="P17" s="200">
        <v>0</v>
      </c>
      <c r="Q17" s="200">
        <v>0</v>
      </c>
      <c r="R17" s="121"/>
      <c r="S17" s="44" t="s">
        <v>406</v>
      </c>
    </row>
    <row r="18" spans="1:19" ht="15" customHeight="1" x14ac:dyDescent="0.2">
      <c r="A18" s="195"/>
      <c r="B18" s="195"/>
      <c r="C18" s="195"/>
      <c r="D18" s="121"/>
      <c r="E18" s="191"/>
      <c r="F18" s="121"/>
      <c r="G18" s="121"/>
      <c r="H18" s="121"/>
      <c r="I18" s="189" t="s">
        <v>420</v>
      </c>
      <c r="J18" s="195" t="s">
        <v>479</v>
      </c>
      <c r="K18" s="195" t="s">
        <v>26</v>
      </c>
      <c r="L18" s="195" t="s">
        <v>433</v>
      </c>
      <c r="M18" s="121" t="s">
        <v>42</v>
      </c>
      <c r="N18" s="199">
        <v>0</v>
      </c>
      <c r="O18" s="198">
        <v>0</v>
      </c>
      <c r="P18" s="198">
        <v>0</v>
      </c>
      <c r="Q18" s="198">
        <v>0</v>
      </c>
      <c r="R18" s="189" t="s">
        <v>420</v>
      </c>
      <c r="S18" s="187" t="s">
        <v>376</v>
      </c>
    </row>
    <row r="19" spans="1:19" ht="15" customHeight="1" x14ac:dyDescent="0.2">
      <c r="A19" s="195"/>
      <c r="B19" s="195"/>
      <c r="C19" s="195"/>
      <c r="D19" s="121"/>
      <c r="E19" s="191"/>
      <c r="F19" s="121"/>
      <c r="G19" s="121"/>
      <c r="H19" s="121"/>
      <c r="I19" s="189" t="s">
        <v>416</v>
      </c>
      <c r="J19" s="195" t="s">
        <v>479</v>
      </c>
      <c r="K19" s="195" t="s">
        <v>26</v>
      </c>
      <c r="L19" s="195" t="s">
        <v>433</v>
      </c>
      <c r="M19" s="121" t="s">
        <v>43</v>
      </c>
      <c r="N19" s="199">
        <v>21331.45</v>
      </c>
      <c r="O19" s="198">
        <v>7</v>
      </c>
      <c r="P19" s="198">
        <v>7</v>
      </c>
      <c r="Q19" s="198">
        <v>0</v>
      </c>
      <c r="R19" s="189" t="s">
        <v>416</v>
      </c>
      <c r="S19" s="187" t="s">
        <v>377</v>
      </c>
    </row>
    <row r="20" spans="1:19" x14ac:dyDescent="0.2">
      <c r="A20" s="195"/>
      <c r="B20" s="195"/>
      <c r="C20" s="195"/>
      <c r="D20" s="121"/>
      <c r="E20" s="191"/>
      <c r="F20" s="121"/>
      <c r="G20" s="121"/>
      <c r="H20" s="121"/>
      <c r="I20" s="121"/>
      <c r="J20" s="195" t="s">
        <v>479</v>
      </c>
      <c r="K20" s="195" t="s">
        <v>26</v>
      </c>
      <c r="L20" s="195" t="s">
        <v>433</v>
      </c>
      <c r="M20" s="121" t="s">
        <v>44</v>
      </c>
      <c r="N20" s="196">
        <v>0</v>
      </c>
      <c r="O20" s="200">
        <v>0</v>
      </c>
      <c r="P20" s="200">
        <v>0</v>
      </c>
      <c r="Q20" s="200">
        <v>0</v>
      </c>
      <c r="R20" s="121"/>
      <c r="S20" s="44" t="s">
        <v>15</v>
      </c>
    </row>
    <row r="21" spans="1:19" x14ac:dyDescent="0.2">
      <c r="A21" s="195"/>
      <c r="B21" s="195"/>
      <c r="C21" s="195"/>
      <c r="D21" s="121"/>
      <c r="E21" s="191"/>
      <c r="F21" s="121"/>
      <c r="G21" s="121"/>
      <c r="H21" s="121"/>
      <c r="I21" s="186">
        <v>6</v>
      </c>
      <c r="J21" s="195" t="s">
        <v>479</v>
      </c>
      <c r="K21" s="195" t="s">
        <v>26</v>
      </c>
      <c r="L21" s="195" t="s">
        <v>433</v>
      </c>
      <c r="M21" s="121" t="s">
        <v>45</v>
      </c>
      <c r="N21" s="197">
        <v>746272</v>
      </c>
      <c r="O21" s="198">
        <v>17</v>
      </c>
      <c r="P21" s="198">
        <v>27</v>
      </c>
      <c r="Q21" s="198">
        <v>27</v>
      </c>
      <c r="R21" s="186">
        <v>6</v>
      </c>
      <c r="S21" s="187" t="s">
        <v>16</v>
      </c>
    </row>
    <row r="22" spans="1:19" x14ac:dyDescent="0.2">
      <c r="A22" s="195"/>
      <c r="B22" s="195"/>
      <c r="C22" s="195"/>
      <c r="D22" s="121"/>
      <c r="E22" s="191"/>
      <c r="F22" s="121"/>
      <c r="G22" s="121"/>
      <c r="H22" s="121"/>
      <c r="I22" s="121"/>
      <c r="J22" s="195" t="s">
        <v>479</v>
      </c>
      <c r="K22" s="195" t="s">
        <v>26</v>
      </c>
      <c r="L22" s="195" t="s">
        <v>433</v>
      </c>
      <c r="M22" s="121" t="s">
        <v>46</v>
      </c>
      <c r="N22" s="196">
        <v>0</v>
      </c>
      <c r="O22" s="200">
        <v>0</v>
      </c>
      <c r="P22" s="200">
        <v>0</v>
      </c>
      <c r="Q22" s="200">
        <v>0</v>
      </c>
      <c r="R22" s="121"/>
      <c r="S22" s="44" t="s">
        <v>407</v>
      </c>
    </row>
    <row r="23" spans="1:19" ht="15" customHeight="1" x14ac:dyDescent="0.2">
      <c r="A23" s="195"/>
      <c r="B23" s="195"/>
      <c r="C23" s="195"/>
      <c r="D23" s="121"/>
      <c r="E23" s="191"/>
      <c r="F23" s="121"/>
      <c r="G23" s="121"/>
      <c r="H23" s="121"/>
      <c r="I23" s="186">
        <v>5</v>
      </c>
      <c r="J23" s="195" t="s">
        <v>479</v>
      </c>
      <c r="K23" s="195" t="s">
        <v>26</v>
      </c>
      <c r="L23" s="195" t="s">
        <v>433</v>
      </c>
      <c r="M23" s="121" t="s">
        <v>47</v>
      </c>
      <c r="N23" s="197">
        <v>0</v>
      </c>
      <c r="O23" s="198">
        <v>0</v>
      </c>
      <c r="P23" s="198">
        <v>16</v>
      </c>
      <c r="Q23" s="198">
        <v>16</v>
      </c>
      <c r="R23" s="186">
        <v>5</v>
      </c>
      <c r="S23" s="187" t="s">
        <v>17</v>
      </c>
    </row>
    <row r="24" spans="1:19" ht="15" customHeight="1" x14ac:dyDescent="0.2">
      <c r="A24" s="195"/>
      <c r="B24" s="195"/>
      <c r="C24" s="195"/>
      <c r="D24" s="121"/>
      <c r="E24" s="191"/>
      <c r="F24" s="121"/>
      <c r="G24" s="121"/>
      <c r="H24" s="121"/>
      <c r="I24" s="45"/>
      <c r="J24" s="195" t="s">
        <v>479</v>
      </c>
      <c r="K24" s="195" t="s">
        <v>26</v>
      </c>
      <c r="L24" s="195" t="s">
        <v>433</v>
      </c>
      <c r="M24" s="121" t="s">
        <v>48</v>
      </c>
      <c r="N24" s="196">
        <v>0</v>
      </c>
      <c r="O24" s="200">
        <v>0</v>
      </c>
      <c r="P24" s="200">
        <v>0</v>
      </c>
      <c r="Q24" s="200">
        <v>0</v>
      </c>
      <c r="S24" s="44" t="s">
        <v>407</v>
      </c>
    </row>
    <row r="25" spans="1:19" ht="15" customHeight="1" x14ac:dyDescent="0.2">
      <c r="A25" s="195"/>
      <c r="B25" s="195"/>
      <c r="C25" s="195"/>
      <c r="D25" s="121"/>
      <c r="E25" s="191"/>
      <c r="F25" s="121"/>
      <c r="G25" s="121"/>
      <c r="H25" s="121"/>
      <c r="I25" s="45"/>
      <c r="J25" s="195" t="s">
        <v>479</v>
      </c>
      <c r="K25" s="195" t="s">
        <v>26</v>
      </c>
      <c r="L25" s="195" t="s">
        <v>433</v>
      </c>
      <c r="M25" s="121" t="s">
        <v>319</v>
      </c>
      <c r="N25" s="196">
        <v>0</v>
      </c>
      <c r="O25" s="200">
        <v>0</v>
      </c>
      <c r="P25" s="200">
        <v>0</v>
      </c>
      <c r="Q25" s="200">
        <v>0</v>
      </c>
      <c r="S25" s="44" t="s">
        <v>18</v>
      </c>
    </row>
    <row r="26" spans="1:19" ht="15" customHeight="1" x14ac:dyDescent="0.2">
      <c r="A26" s="195"/>
      <c r="B26" s="195"/>
      <c r="C26" s="195"/>
      <c r="D26" s="121"/>
      <c r="E26" s="191"/>
      <c r="F26" s="121"/>
      <c r="G26" s="121"/>
      <c r="H26" s="121"/>
      <c r="I26" s="190" t="s">
        <v>421</v>
      </c>
      <c r="J26" s="195" t="s">
        <v>479</v>
      </c>
      <c r="K26" s="195" t="s">
        <v>26</v>
      </c>
      <c r="L26" s="195" t="s">
        <v>433</v>
      </c>
      <c r="M26" s="121" t="s">
        <v>320</v>
      </c>
      <c r="N26" s="199">
        <v>0</v>
      </c>
      <c r="O26" s="198">
        <v>0</v>
      </c>
      <c r="P26" s="198">
        <v>0</v>
      </c>
      <c r="Q26" s="198">
        <v>0</v>
      </c>
      <c r="R26" s="190" t="s">
        <v>421</v>
      </c>
      <c r="S26" s="187" t="s">
        <v>358</v>
      </c>
    </row>
    <row r="27" spans="1:19" x14ac:dyDescent="0.2">
      <c r="A27" s="195"/>
      <c r="B27" s="195"/>
      <c r="C27" s="195"/>
      <c r="D27" s="121"/>
      <c r="E27" s="191"/>
      <c r="F27" s="121"/>
      <c r="G27" s="121"/>
      <c r="H27" s="121"/>
      <c r="I27" s="190" t="s">
        <v>415</v>
      </c>
      <c r="J27" s="195" t="s">
        <v>479</v>
      </c>
      <c r="K27" s="195" t="s">
        <v>26</v>
      </c>
      <c r="L27" s="195" t="s">
        <v>433</v>
      </c>
      <c r="M27" s="121" t="s">
        <v>321</v>
      </c>
      <c r="N27" s="199">
        <v>0</v>
      </c>
      <c r="O27" s="198">
        <v>0</v>
      </c>
      <c r="P27" s="198">
        <v>0</v>
      </c>
      <c r="Q27" s="198">
        <v>0</v>
      </c>
      <c r="R27" s="190" t="s">
        <v>415</v>
      </c>
      <c r="S27" s="187" t="s">
        <v>408</v>
      </c>
    </row>
    <row r="28" spans="1:19" x14ac:dyDescent="0.2">
      <c r="A28" s="195"/>
      <c r="B28" s="195"/>
      <c r="C28" s="195"/>
      <c r="D28" s="121"/>
      <c r="E28" s="191"/>
      <c r="F28" s="121"/>
      <c r="G28" s="121"/>
      <c r="H28" s="121"/>
      <c r="J28" s="195" t="s">
        <v>479</v>
      </c>
      <c r="K28" s="195" t="s">
        <v>26</v>
      </c>
      <c r="L28" s="195" t="s">
        <v>433</v>
      </c>
      <c r="M28" s="121" t="s">
        <v>322</v>
      </c>
      <c r="N28" s="196">
        <v>0</v>
      </c>
      <c r="O28" s="200">
        <v>0</v>
      </c>
      <c r="P28" s="200">
        <v>0</v>
      </c>
      <c r="Q28" s="200">
        <v>0</v>
      </c>
      <c r="S28" s="44" t="s">
        <v>215</v>
      </c>
    </row>
    <row r="29" spans="1:19" x14ac:dyDescent="0.2">
      <c r="A29" s="195"/>
      <c r="B29" s="195"/>
      <c r="C29" s="195"/>
      <c r="D29" s="121"/>
      <c r="E29" s="191"/>
      <c r="F29" s="121"/>
      <c r="G29" s="121"/>
      <c r="H29" s="121"/>
      <c r="J29" s="195" t="s">
        <v>479</v>
      </c>
      <c r="K29" s="195" t="s">
        <v>26</v>
      </c>
      <c r="L29" s="195" t="s">
        <v>433</v>
      </c>
      <c r="M29" s="121" t="s">
        <v>391</v>
      </c>
      <c r="N29" s="196">
        <v>0</v>
      </c>
      <c r="O29" s="200">
        <v>0</v>
      </c>
      <c r="P29" s="200">
        <v>0</v>
      </c>
      <c r="Q29" s="200">
        <v>0</v>
      </c>
      <c r="S29" s="44" t="s">
        <v>409</v>
      </c>
    </row>
    <row r="30" spans="1:19" ht="15" customHeight="1" x14ac:dyDescent="0.2">
      <c r="A30" s="195"/>
      <c r="B30" s="195"/>
      <c r="C30" s="195"/>
      <c r="D30" s="121"/>
      <c r="E30" s="191"/>
      <c r="F30" s="121"/>
      <c r="G30" s="121"/>
      <c r="H30" s="121"/>
      <c r="J30" s="195" t="s">
        <v>479</v>
      </c>
      <c r="K30" s="195" t="s">
        <v>26</v>
      </c>
      <c r="L30" s="195" t="s">
        <v>433</v>
      </c>
      <c r="M30" s="121" t="s">
        <v>392</v>
      </c>
      <c r="N30" s="196">
        <v>0</v>
      </c>
      <c r="O30" s="200">
        <v>0</v>
      </c>
      <c r="P30" s="200">
        <v>0</v>
      </c>
      <c r="Q30" s="200">
        <v>0</v>
      </c>
      <c r="S30" s="44" t="s">
        <v>410</v>
      </c>
    </row>
    <row r="31" spans="1:19" x14ac:dyDescent="0.2">
      <c r="A31" s="195"/>
      <c r="B31" s="195"/>
      <c r="C31" s="195"/>
      <c r="D31" s="121"/>
      <c r="E31" s="191"/>
      <c r="F31" s="121"/>
      <c r="G31" s="121"/>
      <c r="H31" s="121"/>
      <c r="J31" s="195" t="s">
        <v>479</v>
      </c>
      <c r="K31" s="195" t="s">
        <v>26</v>
      </c>
      <c r="L31" s="195" t="s">
        <v>433</v>
      </c>
      <c r="M31" s="121" t="s">
        <v>393</v>
      </c>
      <c r="N31" s="196">
        <v>0</v>
      </c>
      <c r="O31" s="200">
        <v>0</v>
      </c>
      <c r="P31" s="200">
        <v>0</v>
      </c>
      <c r="Q31" s="200">
        <v>0</v>
      </c>
      <c r="S31" s="44" t="s">
        <v>411</v>
      </c>
    </row>
    <row r="32" spans="1:19" x14ac:dyDescent="0.2">
      <c r="A32" s="195"/>
      <c r="B32" s="195"/>
      <c r="C32" s="195"/>
      <c r="D32" s="201"/>
      <c r="E32" s="202"/>
      <c r="F32" s="201"/>
      <c r="G32" s="201"/>
      <c r="H32" s="201"/>
      <c r="J32" s="195" t="s">
        <v>479</v>
      </c>
      <c r="K32" s="195" t="s">
        <v>26</v>
      </c>
      <c r="L32" s="195" t="s">
        <v>433</v>
      </c>
      <c r="M32" s="201" t="s">
        <v>394</v>
      </c>
      <c r="N32" s="203">
        <v>15018264.34</v>
      </c>
      <c r="O32" s="204">
        <v>1486</v>
      </c>
      <c r="P32" s="204">
        <v>1266</v>
      </c>
      <c r="Q32" s="204">
        <v>1064</v>
      </c>
      <c r="S32" s="185" t="s">
        <v>412</v>
      </c>
    </row>
    <row r="33" spans="1:19" x14ac:dyDescent="0.2">
      <c r="A33" s="195"/>
      <c r="B33" s="195"/>
      <c r="C33" s="195"/>
      <c r="D33" s="121"/>
      <c r="E33" s="191"/>
      <c r="F33" s="121"/>
      <c r="G33" s="121"/>
      <c r="H33" s="121"/>
      <c r="J33" s="195" t="s">
        <v>479</v>
      </c>
      <c r="K33" s="195" t="s">
        <v>26</v>
      </c>
      <c r="L33" s="195" t="s">
        <v>433</v>
      </c>
      <c r="M33" s="121" t="s">
        <v>49</v>
      </c>
      <c r="N33" s="196">
        <v>1200</v>
      </c>
      <c r="O33" s="200">
        <v>0</v>
      </c>
      <c r="P33" s="200">
        <v>0</v>
      </c>
      <c r="Q33" s="200">
        <v>0</v>
      </c>
      <c r="S33" s="44" t="s">
        <v>413</v>
      </c>
    </row>
    <row r="34" spans="1:19" x14ac:dyDescent="0.2">
      <c r="A34" s="195"/>
      <c r="B34" s="195"/>
      <c r="C34" s="195"/>
      <c r="D34" s="121"/>
      <c r="E34" s="191"/>
      <c r="F34" s="121"/>
      <c r="G34" s="121"/>
      <c r="H34" s="121"/>
      <c r="J34" s="195" t="s">
        <v>479</v>
      </c>
      <c r="K34" s="195" t="s">
        <v>26</v>
      </c>
      <c r="L34" s="195" t="s">
        <v>433</v>
      </c>
      <c r="M34" s="121" t="s">
        <v>50</v>
      </c>
      <c r="N34" s="196">
        <v>60</v>
      </c>
      <c r="O34" s="200">
        <v>0</v>
      </c>
      <c r="P34" s="200">
        <v>0</v>
      </c>
      <c r="Q34" s="200">
        <v>0</v>
      </c>
      <c r="S34" s="44" t="s">
        <v>414</v>
      </c>
    </row>
    <row r="35" spans="1:19" x14ac:dyDescent="0.2">
      <c r="D35" s="188" t="s">
        <v>89</v>
      </c>
      <c r="E35" s="192">
        <f>SUM(E3:E6,E21,E23)</f>
        <v>0</v>
      </c>
      <c r="F35" s="186">
        <f>SUM(F3:F6,F21,F23)</f>
        <v>0</v>
      </c>
      <c r="G35" s="186">
        <f>SUM(G3:G6,G21,G23)</f>
        <v>0</v>
      </c>
      <c r="H35" s="186">
        <f>SUM(H3:H6,H21,H23)</f>
        <v>0</v>
      </c>
      <c r="M35" s="188" t="s">
        <v>89</v>
      </c>
      <c r="N35" s="192">
        <f>SUM(N3:N6,N21,N23)</f>
        <v>6446696.3399999999</v>
      </c>
      <c r="O35" s="186">
        <f>SUM(O3:O6,O21,O23)</f>
        <v>582</v>
      </c>
      <c r="P35" s="186">
        <f>SUM(P3:P6,P21,P23)</f>
        <v>495</v>
      </c>
      <c r="Q35" s="186">
        <f>SUM(Q3:Q6,Q21,Q23)</f>
        <v>453</v>
      </c>
    </row>
    <row r="36" spans="1:19" x14ac:dyDescent="0.2">
      <c r="D36" s="45" t="s">
        <v>99</v>
      </c>
      <c r="E36" s="94">
        <f>E3+E4+E5+E6+E21+E23</f>
        <v>0</v>
      </c>
      <c r="F36" s="121">
        <f>F3+F4+F5+F6+F21+F23</f>
        <v>0</v>
      </c>
      <c r="G36" s="121">
        <f>G3+G4+G5+G6+G21+G23</f>
        <v>0</v>
      </c>
      <c r="H36" s="121">
        <f>H3+H4+H5+H6+H21+H23</f>
        <v>0</v>
      </c>
      <c r="M36" s="45" t="s">
        <v>99</v>
      </c>
      <c r="N36" s="94">
        <f>N3+N4+N5+N6+N21+N23</f>
        <v>6446696.3399999999</v>
      </c>
      <c r="O36" s="121">
        <f>O3+O4+O5+O6+O21+O23</f>
        <v>582</v>
      </c>
      <c r="P36" s="121">
        <f>P3+P4+P5+P6+P21+P23</f>
        <v>495</v>
      </c>
      <c r="Q36" s="121">
        <f>Q3+Q4+Q5+Q6+Q21+Q23</f>
        <v>453</v>
      </c>
    </row>
    <row r="37" spans="1:19" x14ac:dyDescent="0.2">
      <c r="D37" s="188" t="s">
        <v>272</v>
      </c>
      <c r="E37" s="192">
        <f>SUM(E3:E6,E15,E21,E23)</f>
        <v>0</v>
      </c>
      <c r="F37" s="186">
        <f>SUM(F3:F6,F15,F21,F23)</f>
        <v>0</v>
      </c>
      <c r="G37" s="186">
        <f>SUM(G3:G6,G15,G21,G23)</f>
        <v>0</v>
      </c>
      <c r="H37" s="186">
        <f>SUM(H3:H6,H15,H21,H23)</f>
        <v>0</v>
      </c>
      <c r="M37" s="188" t="s">
        <v>272</v>
      </c>
      <c r="N37" s="192">
        <f>SUM(N3:N6,N15,N21,N23)</f>
        <v>7117546.3399999999</v>
      </c>
      <c r="O37" s="186">
        <f>SUM(O3:O6,O15,O21,O23)</f>
        <v>659</v>
      </c>
      <c r="P37" s="186">
        <f>SUM(P3:P6,P15,P21,P23)</f>
        <v>567</v>
      </c>
      <c r="Q37" s="186">
        <f>SUM(Q3:Q6,Q15,Q21,Q23)</f>
        <v>518</v>
      </c>
    </row>
    <row r="38" spans="1:19" x14ac:dyDescent="0.2">
      <c r="D38" s="45" t="s">
        <v>99</v>
      </c>
      <c r="E38" s="94">
        <f>E3+E4+E5+E6+E15+E21+E23</f>
        <v>0</v>
      </c>
      <c r="F38" s="121">
        <f>F3+F4+F5+F6+F15+F21+F23</f>
        <v>0</v>
      </c>
      <c r="G38" s="121">
        <f>G3+G4+G5+G6+G15+G21+G23</f>
        <v>0</v>
      </c>
      <c r="H38" s="121">
        <f>H3+H4+H5+H6+H15+H21+H23</f>
        <v>0</v>
      </c>
      <c r="M38" s="45" t="s">
        <v>99</v>
      </c>
      <c r="N38" s="94">
        <f>N3+N4+N5+N6+N15+N21+N23</f>
        <v>7117546.3399999999</v>
      </c>
      <c r="O38" s="121">
        <f>O3+O4+O5+O6+O15+O21+O23</f>
        <v>659</v>
      </c>
      <c r="P38" s="121">
        <f>P3+P4+P5+P6+P15+P21+P23</f>
        <v>567</v>
      </c>
      <c r="Q38" s="121">
        <f>Q3+Q4+Q5+Q6+Q15+Q21+Q23</f>
        <v>518</v>
      </c>
    </row>
    <row r="39" spans="1:19" x14ac:dyDescent="0.2">
      <c r="D39" s="44"/>
      <c r="F39" s="45"/>
      <c r="G39" s="192" t="e">
        <f>SUM(H32)/G32*100</f>
        <v>#DIV/0!</v>
      </c>
      <c r="H39" s="193" t="e">
        <f>SUM(E32)/H32</f>
        <v>#DIV/0!</v>
      </c>
      <c r="P39" s="192">
        <f>SUM(Q32)/P32*100</f>
        <v>84.044233807266991</v>
      </c>
      <c r="Q39" s="193">
        <f>SUM(N32)/Q32</f>
        <v>14114.910093984963</v>
      </c>
    </row>
    <row r="40" spans="1:19" x14ac:dyDescent="0.2">
      <c r="D40" s="44"/>
      <c r="E40" s="196">
        <f>SUM(E3:E21,E23,E25:E31)</f>
        <v>0</v>
      </c>
      <c r="F40" s="200">
        <f>SUM(F3:F21,F23,F25:F31)</f>
        <v>0</v>
      </c>
      <c r="G40" s="200">
        <f>SUM(G3:G21,G23,G25:G31)</f>
        <v>0</v>
      </c>
      <c r="H40" s="200">
        <f>SUM(H3:H21,H23,H25:H31)</f>
        <v>0</v>
      </c>
      <c r="N40" s="196">
        <f>SUM(N3:N21,N23,N25:N31)</f>
        <v>7509132.1699999999</v>
      </c>
      <c r="O40" s="200">
        <f>SUM(O3:O21,O23,O25:O31)</f>
        <v>743</v>
      </c>
      <c r="P40" s="200">
        <f>SUM(P3:P21,P23,P25:P31)</f>
        <v>633</v>
      </c>
      <c r="Q40" s="200">
        <f>SUM(Q3:Q21,Q23,Q25:Q31)</f>
        <v>532</v>
      </c>
    </row>
    <row r="41" spans="1:19" x14ac:dyDescent="0.2">
      <c r="D41" s="44"/>
      <c r="E41" s="191">
        <f>SUM(E2:E31)</f>
        <v>0</v>
      </c>
      <c r="F41" s="121">
        <f>SUM(F2:F31)</f>
        <v>0</v>
      </c>
      <c r="G41" s="121">
        <f>SUM(G2:G31)</f>
        <v>0</v>
      </c>
      <c r="H41" s="121">
        <f>SUM(H2:H31)</f>
        <v>0</v>
      </c>
      <c r="N41" s="191">
        <f>SUM(N2:N31)</f>
        <v>15018264.339999998</v>
      </c>
      <c r="O41" s="121">
        <f>SUM(O2:O31)</f>
        <v>1486</v>
      </c>
      <c r="P41" s="121">
        <f>SUM(P2:P31)</f>
        <v>1266</v>
      </c>
      <c r="Q41" s="121">
        <f>SUM(Q2:Q31)</f>
        <v>1064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Arkusz35">
    <tabColor theme="0"/>
  </sheetPr>
  <dimension ref="A1:S41"/>
  <sheetViews>
    <sheetView zoomScale="80" zoomScaleNormal="80" workbookViewId="0">
      <selection activeCell="J2" sqref="J2:Q34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195" t="s">
        <v>22</v>
      </c>
      <c r="B1" s="195" t="s">
        <v>23</v>
      </c>
      <c r="C1" s="195" t="s">
        <v>24</v>
      </c>
      <c r="D1" s="121" t="s">
        <v>25</v>
      </c>
      <c r="E1" s="193" t="s">
        <v>387</v>
      </c>
      <c r="F1" s="191" t="s">
        <v>388</v>
      </c>
      <c r="G1" s="191" t="s">
        <v>389</v>
      </c>
      <c r="H1" s="191" t="s">
        <v>390</v>
      </c>
      <c r="J1" s="195" t="s">
        <v>22</v>
      </c>
      <c r="K1" s="195" t="s">
        <v>23</v>
      </c>
      <c r="L1" s="195" t="s">
        <v>24</v>
      </c>
      <c r="M1" s="121" t="s">
        <v>25</v>
      </c>
      <c r="N1" s="193" t="s">
        <v>387</v>
      </c>
      <c r="O1" s="191" t="s">
        <v>388</v>
      </c>
      <c r="P1" s="191" t="s">
        <v>389</v>
      </c>
      <c r="Q1" s="191" t="s">
        <v>390</v>
      </c>
    </row>
    <row r="2" spans="1:19" ht="15" customHeight="1" x14ac:dyDescent="0.2">
      <c r="A2" s="195"/>
      <c r="B2" s="195"/>
      <c r="C2" s="195"/>
      <c r="D2" s="121"/>
      <c r="E2" s="191"/>
      <c r="F2" s="121"/>
      <c r="G2" s="121"/>
      <c r="H2" s="121"/>
      <c r="J2" s="195" t="s">
        <v>479</v>
      </c>
      <c r="K2" s="195" t="s">
        <v>26</v>
      </c>
      <c r="L2" s="195" t="s">
        <v>432</v>
      </c>
      <c r="M2" s="121" t="s">
        <v>27</v>
      </c>
      <c r="N2" s="196">
        <v>10225395.18</v>
      </c>
      <c r="O2" s="200">
        <v>679</v>
      </c>
      <c r="P2" s="200">
        <v>599</v>
      </c>
      <c r="Q2" s="200">
        <v>493</v>
      </c>
      <c r="S2" s="44" t="s">
        <v>395</v>
      </c>
    </row>
    <row r="3" spans="1:19" x14ac:dyDescent="0.2">
      <c r="A3" s="195"/>
      <c r="B3" s="195"/>
      <c r="C3" s="195"/>
      <c r="D3" s="121"/>
      <c r="E3" s="191"/>
      <c r="F3" s="121"/>
      <c r="G3" s="121"/>
      <c r="H3" s="121"/>
      <c r="I3" s="186">
        <v>1</v>
      </c>
      <c r="J3" s="195" t="s">
        <v>479</v>
      </c>
      <c r="K3" s="195" t="s">
        <v>26</v>
      </c>
      <c r="L3" s="195" t="s">
        <v>432</v>
      </c>
      <c r="M3" s="121" t="s">
        <v>28</v>
      </c>
      <c r="N3" s="197">
        <v>2257721.71</v>
      </c>
      <c r="O3" s="198">
        <v>189</v>
      </c>
      <c r="P3" s="198">
        <v>142</v>
      </c>
      <c r="Q3" s="198">
        <v>107</v>
      </c>
      <c r="R3" s="186">
        <v>1</v>
      </c>
      <c r="S3" s="187" t="s">
        <v>396</v>
      </c>
    </row>
    <row r="4" spans="1:19" x14ac:dyDescent="0.2">
      <c r="A4" s="195"/>
      <c r="B4" s="195"/>
      <c r="C4" s="195"/>
      <c r="D4" s="121"/>
      <c r="E4" s="191"/>
      <c r="F4" s="121"/>
      <c r="G4" s="121"/>
      <c r="H4" s="121"/>
      <c r="I4" s="186">
        <v>2</v>
      </c>
      <c r="J4" s="195" t="s">
        <v>479</v>
      </c>
      <c r="K4" s="195" t="s">
        <v>26</v>
      </c>
      <c r="L4" s="195" t="s">
        <v>432</v>
      </c>
      <c r="M4" s="121" t="s">
        <v>29</v>
      </c>
      <c r="N4" s="197">
        <v>197581.7</v>
      </c>
      <c r="O4" s="198">
        <v>61</v>
      </c>
      <c r="P4" s="198">
        <v>61</v>
      </c>
      <c r="Q4" s="198">
        <v>32</v>
      </c>
      <c r="R4" s="186">
        <v>2</v>
      </c>
      <c r="S4" s="187" t="s">
        <v>397</v>
      </c>
    </row>
    <row r="5" spans="1:19" x14ac:dyDescent="0.2">
      <c r="A5" s="195"/>
      <c r="B5" s="195"/>
      <c r="C5" s="195"/>
      <c r="D5" s="121"/>
      <c r="E5" s="191"/>
      <c r="F5" s="121"/>
      <c r="G5" s="121"/>
      <c r="H5" s="121"/>
      <c r="I5" s="186">
        <v>3</v>
      </c>
      <c r="J5" s="195" t="s">
        <v>479</v>
      </c>
      <c r="K5" s="195" t="s">
        <v>26</v>
      </c>
      <c r="L5" s="195" t="s">
        <v>432</v>
      </c>
      <c r="M5" s="121" t="s">
        <v>30</v>
      </c>
      <c r="N5" s="197">
        <v>1725992.2</v>
      </c>
      <c r="O5" s="198">
        <v>149</v>
      </c>
      <c r="P5" s="198">
        <v>121</v>
      </c>
      <c r="Q5" s="198">
        <v>120</v>
      </c>
      <c r="R5" s="186">
        <v>3</v>
      </c>
      <c r="S5" s="187" t="s">
        <v>399</v>
      </c>
    </row>
    <row r="6" spans="1:19" x14ac:dyDescent="0.2">
      <c r="A6" s="195"/>
      <c r="B6" s="195"/>
      <c r="C6" s="195"/>
      <c r="D6" s="121"/>
      <c r="E6" s="191"/>
      <c r="F6" s="121"/>
      <c r="G6" s="121"/>
      <c r="H6" s="121"/>
      <c r="I6" s="186">
        <v>4</v>
      </c>
      <c r="J6" s="195" t="s">
        <v>479</v>
      </c>
      <c r="K6" s="195" t="s">
        <v>26</v>
      </c>
      <c r="L6" s="195" t="s">
        <v>432</v>
      </c>
      <c r="M6" s="121" t="s">
        <v>31</v>
      </c>
      <c r="N6" s="197">
        <v>1544881.82</v>
      </c>
      <c r="O6" s="198">
        <v>103</v>
      </c>
      <c r="P6" s="198">
        <v>78</v>
      </c>
      <c r="Q6" s="198">
        <v>78</v>
      </c>
      <c r="R6" s="186">
        <v>4</v>
      </c>
      <c r="S6" s="187" t="s">
        <v>398</v>
      </c>
    </row>
    <row r="7" spans="1:19" x14ac:dyDescent="0.2">
      <c r="A7" s="195"/>
      <c r="B7" s="195"/>
      <c r="C7" s="195"/>
      <c r="D7" s="121"/>
      <c r="E7" s="191"/>
      <c r="F7" s="121"/>
      <c r="G7" s="121"/>
      <c r="H7" s="121"/>
      <c r="I7" s="189" t="s">
        <v>417</v>
      </c>
      <c r="J7" s="195" t="s">
        <v>479</v>
      </c>
      <c r="K7" s="195" t="s">
        <v>26</v>
      </c>
      <c r="L7" s="195" t="s">
        <v>432</v>
      </c>
      <c r="M7" s="121" t="s">
        <v>32</v>
      </c>
      <c r="N7" s="199">
        <v>59994.720000000001</v>
      </c>
      <c r="O7" s="198">
        <v>32</v>
      </c>
      <c r="P7" s="198">
        <v>29</v>
      </c>
      <c r="Q7" s="198">
        <v>5</v>
      </c>
      <c r="R7" s="189" t="s">
        <v>417</v>
      </c>
      <c r="S7" s="187" t="s">
        <v>400</v>
      </c>
    </row>
    <row r="8" spans="1:19" x14ac:dyDescent="0.2">
      <c r="A8" s="195"/>
      <c r="B8" s="195"/>
      <c r="C8" s="195"/>
      <c r="D8" s="121"/>
      <c r="E8" s="191"/>
      <c r="F8" s="121"/>
      <c r="G8" s="121"/>
      <c r="H8" s="121"/>
      <c r="I8" s="121"/>
      <c r="J8" s="195" t="s">
        <v>479</v>
      </c>
      <c r="K8" s="195" t="s">
        <v>26</v>
      </c>
      <c r="L8" s="195" t="s">
        <v>432</v>
      </c>
      <c r="M8" s="121" t="s">
        <v>33</v>
      </c>
      <c r="N8" s="196">
        <v>0</v>
      </c>
      <c r="O8" s="200">
        <v>0</v>
      </c>
      <c r="P8" s="200">
        <v>0</v>
      </c>
      <c r="Q8" s="200">
        <v>0</v>
      </c>
      <c r="R8" s="121"/>
      <c r="S8" s="44" t="s">
        <v>401</v>
      </c>
    </row>
    <row r="9" spans="1:19" x14ac:dyDescent="0.2">
      <c r="A9" s="195"/>
      <c r="B9" s="195"/>
      <c r="C9" s="195"/>
      <c r="D9" s="121"/>
      <c r="E9" s="191"/>
      <c r="F9" s="121"/>
      <c r="G9" s="121"/>
      <c r="H9" s="121"/>
      <c r="I9" s="121"/>
      <c r="J9" s="195" t="s">
        <v>479</v>
      </c>
      <c r="K9" s="195" t="s">
        <v>26</v>
      </c>
      <c r="L9" s="195" t="s">
        <v>432</v>
      </c>
      <c r="M9" s="121" t="s">
        <v>34</v>
      </c>
      <c r="N9" s="196">
        <v>0</v>
      </c>
      <c r="O9" s="200">
        <v>0</v>
      </c>
      <c r="P9" s="200">
        <v>0</v>
      </c>
      <c r="Q9" s="200">
        <v>0</v>
      </c>
      <c r="R9" s="121"/>
      <c r="S9" s="44" t="s">
        <v>6</v>
      </c>
    </row>
    <row r="10" spans="1:19" ht="15" customHeight="1" x14ac:dyDescent="0.2">
      <c r="A10" s="195"/>
      <c r="B10" s="195"/>
      <c r="C10" s="195"/>
      <c r="D10" s="121"/>
      <c r="E10" s="191"/>
      <c r="F10" s="121"/>
      <c r="G10" s="121"/>
      <c r="H10" s="121"/>
      <c r="I10" s="121"/>
      <c r="J10" s="195" t="s">
        <v>479</v>
      </c>
      <c r="K10" s="195" t="s">
        <v>26</v>
      </c>
      <c r="L10" s="195" t="s">
        <v>432</v>
      </c>
      <c r="M10" s="121" t="s">
        <v>35</v>
      </c>
      <c r="N10" s="196">
        <v>0</v>
      </c>
      <c r="O10" s="200">
        <v>0</v>
      </c>
      <c r="P10" s="200">
        <v>0</v>
      </c>
      <c r="Q10" s="200">
        <v>0</v>
      </c>
      <c r="R10" s="121"/>
      <c r="S10" s="44" t="s">
        <v>402</v>
      </c>
    </row>
    <row r="11" spans="1:19" ht="15" customHeight="1" x14ac:dyDescent="0.2">
      <c r="A11" s="195"/>
      <c r="B11" s="195"/>
      <c r="C11" s="195"/>
      <c r="D11" s="121"/>
      <c r="E11" s="191"/>
      <c r="F11" s="121"/>
      <c r="G11" s="121"/>
      <c r="H11" s="121"/>
      <c r="I11" s="121"/>
      <c r="J11" s="195" t="s">
        <v>479</v>
      </c>
      <c r="K11" s="195" t="s">
        <v>26</v>
      </c>
      <c r="L11" s="195" t="s">
        <v>432</v>
      </c>
      <c r="M11" s="121" t="s">
        <v>36</v>
      </c>
      <c r="N11" s="196">
        <v>0</v>
      </c>
      <c r="O11" s="200">
        <v>0</v>
      </c>
      <c r="P11" s="200">
        <v>0</v>
      </c>
      <c r="Q11" s="200">
        <v>0</v>
      </c>
      <c r="R11" s="121"/>
      <c r="S11" s="44" t="s">
        <v>8</v>
      </c>
    </row>
    <row r="12" spans="1:19" x14ac:dyDescent="0.2">
      <c r="A12" s="195"/>
      <c r="B12" s="195"/>
      <c r="C12" s="195"/>
      <c r="D12" s="121"/>
      <c r="E12" s="191"/>
      <c r="F12" s="121"/>
      <c r="G12" s="121"/>
      <c r="H12" s="121"/>
      <c r="I12" s="121"/>
      <c r="J12" s="195" t="s">
        <v>479</v>
      </c>
      <c r="K12" s="195" t="s">
        <v>26</v>
      </c>
      <c r="L12" s="195" t="s">
        <v>432</v>
      </c>
      <c r="M12" s="121" t="s">
        <v>37</v>
      </c>
      <c r="N12" s="196">
        <v>0</v>
      </c>
      <c r="O12" s="200">
        <v>0</v>
      </c>
      <c r="P12" s="200">
        <v>0</v>
      </c>
      <c r="Q12" s="200">
        <v>0</v>
      </c>
      <c r="R12" s="121"/>
      <c r="S12" s="44" t="s">
        <v>403</v>
      </c>
    </row>
    <row r="13" spans="1:19" x14ac:dyDescent="0.2">
      <c r="A13" s="195"/>
      <c r="B13" s="195"/>
      <c r="C13" s="195"/>
      <c r="D13" s="121"/>
      <c r="E13" s="191"/>
      <c r="F13" s="121"/>
      <c r="G13" s="121"/>
      <c r="H13" s="121"/>
      <c r="I13" s="189" t="s">
        <v>419</v>
      </c>
      <c r="J13" s="195" t="s">
        <v>479</v>
      </c>
      <c r="K13" s="195" t="s">
        <v>26</v>
      </c>
      <c r="L13" s="195" t="s">
        <v>432</v>
      </c>
      <c r="M13" s="121" t="s">
        <v>26</v>
      </c>
      <c r="N13" s="199">
        <v>2859.84</v>
      </c>
      <c r="O13" s="198">
        <v>1</v>
      </c>
      <c r="P13" s="198">
        <v>1</v>
      </c>
      <c r="Q13" s="198">
        <v>0</v>
      </c>
      <c r="R13" s="189" t="s">
        <v>419</v>
      </c>
      <c r="S13" s="187" t="s">
        <v>9</v>
      </c>
    </row>
    <row r="14" spans="1:19" ht="15" customHeight="1" x14ac:dyDescent="0.2">
      <c r="A14" s="195"/>
      <c r="B14" s="195"/>
      <c r="C14" s="195"/>
      <c r="D14" s="121"/>
      <c r="E14" s="191"/>
      <c r="F14" s="121"/>
      <c r="G14" s="121"/>
      <c r="H14" s="121"/>
      <c r="I14" s="121"/>
      <c r="J14" s="195" t="s">
        <v>479</v>
      </c>
      <c r="K14" s="195" t="s">
        <v>26</v>
      </c>
      <c r="L14" s="195" t="s">
        <v>432</v>
      </c>
      <c r="M14" s="121" t="s">
        <v>38</v>
      </c>
      <c r="N14" s="196">
        <v>0</v>
      </c>
      <c r="O14" s="200">
        <v>0</v>
      </c>
      <c r="P14" s="200">
        <v>0</v>
      </c>
      <c r="Q14" s="200">
        <v>0</v>
      </c>
      <c r="R14" s="121"/>
      <c r="S14" s="44" t="s">
        <v>404</v>
      </c>
    </row>
    <row r="15" spans="1:19" ht="15" customHeight="1" x14ac:dyDescent="0.2">
      <c r="A15" s="195"/>
      <c r="B15" s="195"/>
      <c r="C15" s="195"/>
      <c r="D15" s="121"/>
      <c r="E15" s="191"/>
      <c r="F15" s="121"/>
      <c r="G15" s="121"/>
      <c r="H15" s="121"/>
      <c r="I15" s="189" t="s">
        <v>51</v>
      </c>
      <c r="J15" s="195" t="s">
        <v>479</v>
      </c>
      <c r="K15" s="195" t="s">
        <v>26</v>
      </c>
      <c r="L15" s="195" t="s">
        <v>432</v>
      </c>
      <c r="M15" s="121" t="s">
        <v>39</v>
      </c>
      <c r="N15" s="199">
        <v>275000</v>
      </c>
      <c r="O15" s="198">
        <v>25</v>
      </c>
      <c r="P15" s="198">
        <v>24</v>
      </c>
      <c r="Q15" s="198">
        <v>23</v>
      </c>
      <c r="R15" s="189" t="s">
        <v>51</v>
      </c>
      <c r="S15" s="187" t="s">
        <v>11</v>
      </c>
    </row>
    <row r="16" spans="1:19" x14ac:dyDescent="0.2">
      <c r="A16" s="195"/>
      <c r="B16" s="195"/>
      <c r="C16" s="195"/>
      <c r="D16" s="121"/>
      <c r="E16" s="191"/>
      <c r="F16" s="121"/>
      <c r="G16" s="121"/>
      <c r="H16" s="121"/>
      <c r="I16" s="189" t="s">
        <v>418</v>
      </c>
      <c r="J16" s="195" t="s">
        <v>479</v>
      </c>
      <c r="K16" s="195" t="s">
        <v>26</v>
      </c>
      <c r="L16" s="195" t="s">
        <v>432</v>
      </c>
      <c r="M16" s="121" t="s">
        <v>40</v>
      </c>
      <c r="N16" s="199">
        <v>0</v>
      </c>
      <c r="O16" s="198">
        <v>0</v>
      </c>
      <c r="P16" s="198">
        <v>0</v>
      </c>
      <c r="Q16" s="198">
        <v>0</v>
      </c>
      <c r="R16" s="189" t="s">
        <v>418</v>
      </c>
      <c r="S16" s="187" t="s">
        <v>405</v>
      </c>
    </row>
    <row r="17" spans="1:19" x14ac:dyDescent="0.2">
      <c r="A17" s="195"/>
      <c r="B17" s="195"/>
      <c r="C17" s="195"/>
      <c r="D17" s="121"/>
      <c r="E17" s="191"/>
      <c r="F17" s="121"/>
      <c r="G17" s="121"/>
      <c r="H17" s="121"/>
      <c r="I17" s="121"/>
      <c r="J17" s="195" t="s">
        <v>479</v>
      </c>
      <c r="K17" s="195" t="s">
        <v>26</v>
      </c>
      <c r="L17" s="195" t="s">
        <v>432</v>
      </c>
      <c r="M17" s="121" t="s">
        <v>41</v>
      </c>
      <c r="N17" s="196">
        <v>0</v>
      </c>
      <c r="O17" s="200">
        <v>0</v>
      </c>
      <c r="P17" s="200">
        <v>0</v>
      </c>
      <c r="Q17" s="200">
        <v>0</v>
      </c>
      <c r="R17" s="121"/>
      <c r="S17" s="44" t="s">
        <v>406</v>
      </c>
    </row>
    <row r="18" spans="1:19" ht="15" customHeight="1" x14ac:dyDescent="0.2">
      <c r="A18" s="195"/>
      <c r="B18" s="195"/>
      <c r="C18" s="195"/>
      <c r="D18" s="121"/>
      <c r="E18" s="191"/>
      <c r="F18" s="121"/>
      <c r="G18" s="121"/>
      <c r="H18" s="121"/>
      <c r="I18" s="189" t="s">
        <v>420</v>
      </c>
      <c r="J18" s="195" t="s">
        <v>479</v>
      </c>
      <c r="K18" s="195" t="s">
        <v>26</v>
      </c>
      <c r="L18" s="195" t="s">
        <v>432</v>
      </c>
      <c r="M18" s="121" t="s">
        <v>42</v>
      </c>
      <c r="N18" s="199">
        <v>0</v>
      </c>
      <c r="O18" s="198">
        <v>0</v>
      </c>
      <c r="P18" s="198">
        <v>0</v>
      </c>
      <c r="Q18" s="198">
        <v>0</v>
      </c>
      <c r="R18" s="189" t="s">
        <v>420</v>
      </c>
      <c r="S18" s="187" t="s">
        <v>376</v>
      </c>
    </row>
    <row r="19" spans="1:19" ht="15" customHeight="1" x14ac:dyDescent="0.2">
      <c r="A19" s="195"/>
      <c r="B19" s="195"/>
      <c r="C19" s="195"/>
      <c r="D19" s="121"/>
      <c r="E19" s="191"/>
      <c r="F19" s="121"/>
      <c r="G19" s="121"/>
      <c r="H19" s="121"/>
      <c r="I19" s="189" t="s">
        <v>416</v>
      </c>
      <c r="J19" s="195" t="s">
        <v>479</v>
      </c>
      <c r="K19" s="195" t="s">
        <v>26</v>
      </c>
      <c r="L19" s="195" t="s">
        <v>432</v>
      </c>
      <c r="M19" s="121" t="s">
        <v>43</v>
      </c>
      <c r="N19" s="199">
        <v>0</v>
      </c>
      <c r="O19" s="198">
        <v>0</v>
      </c>
      <c r="P19" s="198">
        <v>0</v>
      </c>
      <c r="Q19" s="198">
        <v>0</v>
      </c>
      <c r="R19" s="189" t="s">
        <v>416</v>
      </c>
      <c r="S19" s="187" t="s">
        <v>377</v>
      </c>
    </row>
    <row r="20" spans="1:19" x14ac:dyDescent="0.2">
      <c r="A20" s="195"/>
      <c r="B20" s="195"/>
      <c r="C20" s="195"/>
      <c r="D20" s="121"/>
      <c r="E20" s="191"/>
      <c r="F20" s="121"/>
      <c r="G20" s="121"/>
      <c r="H20" s="121"/>
      <c r="I20" s="121"/>
      <c r="J20" s="195" t="s">
        <v>479</v>
      </c>
      <c r="K20" s="195" t="s">
        <v>26</v>
      </c>
      <c r="L20" s="195" t="s">
        <v>432</v>
      </c>
      <c r="M20" s="121" t="s">
        <v>44</v>
      </c>
      <c r="N20" s="196">
        <v>0</v>
      </c>
      <c r="O20" s="200">
        <v>0</v>
      </c>
      <c r="P20" s="200">
        <v>0</v>
      </c>
      <c r="Q20" s="200">
        <v>0</v>
      </c>
      <c r="R20" s="121"/>
      <c r="S20" s="44" t="s">
        <v>15</v>
      </c>
    </row>
    <row r="21" spans="1:19" x14ac:dyDescent="0.2">
      <c r="A21" s="195"/>
      <c r="B21" s="195"/>
      <c r="C21" s="195"/>
      <c r="D21" s="121"/>
      <c r="E21" s="191"/>
      <c r="F21" s="121"/>
      <c r="G21" s="121"/>
      <c r="H21" s="121"/>
      <c r="I21" s="186">
        <v>6</v>
      </c>
      <c r="J21" s="195" t="s">
        <v>479</v>
      </c>
      <c r="K21" s="195" t="s">
        <v>26</v>
      </c>
      <c r="L21" s="195" t="s">
        <v>432</v>
      </c>
      <c r="M21" s="121" t="s">
        <v>45</v>
      </c>
      <c r="N21" s="197">
        <v>2070158.22</v>
      </c>
      <c r="O21" s="198">
        <v>66</v>
      </c>
      <c r="P21" s="198">
        <v>74</v>
      </c>
      <c r="Q21" s="198">
        <v>69</v>
      </c>
      <c r="R21" s="186">
        <v>6</v>
      </c>
      <c r="S21" s="187" t="s">
        <v>16</v>
      </c>
    </row>
    <row r="22" spans="1:19" x14ac:dyDescent="0.2">
      <c r="A22" s="195"/>
      <c r="B22" s="195"/>
      <c r="C22" s="195"/>
      <c r="D22" s="121"/>
      <c r="E22" s="191"/>
      <c r="F22" s="121"/>
      <c r="G22" s="121"/>
      <c r="H22" s="121"/>
      <c r="I22" s="121"/>
      <c r="J22" s="195" t="s">
        <v>479</v>
      </c>
      <c r="K22" s="195" t="s">
        <v>26</v>
      </c>
      <c r="L22" s="195" t="s">
        <v>432</v>
      </c>
      <c r="M22" s="121" t="s">
        <v>46</v>
      </c>
      <c r="N22" s="196">
        <v>0</v>
      </c>
      <c r="O22" s="200">
        <v>0</v>
      </c>
      <c r="P22" s="200">
        <v>0</v>
      </c>
      <c r="Q22" s="200">
        <v>0</v>
      </c>
      <c r="R22" s="121"/>
      <c r="S22" s="44" t="s">
        <v>407</v>
      </c>
    </row>
    <row r="23" spans="1:19" ht="15" customHeight="1" x14ac:dyDescent="0.2">
      <c r="A23" s="195"/>
      <c r="B23" s="195"/>
      <c r="C23" s="195"/>
      <c r="D23" s="121"/>
      <c r="E23" s="191"/>
      <c r="F23" s="121"/>
      <c r="G23" s="121"/>
      <c r="H23" s="121"/>
      <c r="I23" s="186">
        <v>5</v>
      </c>
      <c r="J23" s="195" t="s">
        <v>479</v>
      </c>
      <c r="K23" s="195" t="s">
        <v>26</v>
      </c>
      <c r="L23" s="195" t="s">
        <v>432</v>
      </c>
      <c r="M23" s="121" t="s">
        <v>47</v>
      </c>
      <c r="N23" s="197">
        <v>2091204.97</v>
      </c>
      <c r="O23" s="198">
        <v>53</v>
      </c>
      <c r="P23" s="198">
        <v>69</v>
      </c>
      <c r="Q23" s="198">
        <v>59</v>
      </c>
      <c r="R23" s="186">
        <v>5</v>
      </c>
      <c r="S23" s="187" t="s">
        <v>17</v>
      </c>
    </row>
    <row r="24" spans="1:19" ht="15" customHeight="1" x14ac:dyDescent="0.2">
      <c r="A24" s="195"/>
      <c r="B24" s="195"/>
      <c r="C24" s="195"/>
      <c r="D24" s="121"/>
      <c r="E24" s="191"/>
      <c r="F24" s="121"/>
      <c r="G24" s="121"/>
      <c r="H24" s="121"/>
      <c r="I24" s="45"/>
      <c r="J24" s="195" t="s">
        <v>479</v>
      </c>
      <c r="K24" s="195" t="s">
        <v>26</v>
      </c>
      <c r="L24" s="195" t="s">
        <v>432</v>
      </c>
      <c r="M24" s="121" t="s">
        <v>48</v>
      </c>
      <c r="N24" s="196">
        <v>0</v>
      </c>
      <c r="O24" s="200">
        <v>0</v>
      </c>
      <c r="P24" s="200">
        <v>0</v>
      </c>
      <c r="Q24" s="200">
        <v>0</v>
      </c>
      <c r="S24" s="44" t="s">
        <v>407</v>
      </c>
    </row>
    <row r="25" spans="1:19" ht="15" customHeight="1" x14ac:dyDescent="0.2">
      <c r="A25" s="195"/>
      <c r="B25" s="195"/>
      <c r="C25" s="195"/>
      <c r="D25" s="121"/>
      <c r="E25" s="191"/>
      <c r="F25" s="121"/>
      <c r="G25" s="121"/>
      <c r="H25" s="121"/>
      <c r="I25" s="45"/>
      <c r="J25" s="195" t="s">
        <v>479</v>
      </c>
      <c r="K25" s="195" t="s">
        <v>26</v>
      </c>
      <c r="L25" s="195" t="s">
        <v>432</v>
      </c>
      <c r="M25" s="121" t="s">
        <v>319</v>
      </c>
      <c r="N25" s="196">
        <v>0</v>
      </c>
      <c r="O25" s="200">
        <v>0</v>
      </c>
      <c r="P25" s="200">
        <v>0</v>
      </c>
      <c r="Q25" s="200">
        <v>0</v>
      </c>
      <c r="S25" s="44" t="s">
        <v>18</v>
      </c>
    </row>
    <row r="26" spans="1:19" ht="15" customHeight="1" x14ac:dyDescent="0.2">
      <c r="A26" s="195"/>
      <c r="B26" s="195"/>
      <c r="C26" s="195"/>
      <c r="D26" s="121"/>
      <c r="E26" s="191"/>
      <c r="F26" s="121"/>
      <c r="G26" s="121"/>
      <c r="H26" s="121"/>
      <c r="I26" s="190" t="s">
        <v>421</v>
      </c>
      <c r="J26" s="195" t="s">
        <v>479</v>
      </c>
      <c r="K26" s="195" t="s">
        <v>26</v>
      </c>
      <c r="L26" s="195" t="s">
        <v>432</v>
      </c>
      <c r="M26" s="121" t="s">
        <v>320</v>
      </c>
      <c r="N26" s="199">
        <v>0</v>
      </c>
      <c r="O26" s="198">
        <v>0</v>
      </c>
      <c r="P26" s="198">
        <v>0</v>
      </c>
      <c r="Q26" s="198">
        <v>0</v>
      </c>
      <c r="R26" s="190" t="s">
        <v>421</v>
      </c>
      <c r="S26" s="187" t="s">
        <v>358</v>
      </c>
    </row>
    <row r="27" spans="1:19" x14ac:dyDescent="0.2">
      <c r="A27" s="195"/>
      <c r="B27" s="195"/>
      <c r="C27" s="195"/>
      <c r="D27" s="121"/>
      <c r="E27" s="191"/>
      <c r="F27" s="121"/>
      <c r="G27" s="121"/>
      <c r="H27" s="121"/>
      <c r="I27" s="190" t="s">
        <v>415</v>
      </c>
      <c r="J27" s="195" t="s">
        <v>479</v>
      </c>
      <c r="K27" s="195" t="s">
        <v>26</v>
      </c>
      <c r="L27" s="195" t="s">
        <v>432</v>
      </c>
      <c r="M27" s="121" t="s">
        <v>321</v>
      </c>
      <c r="N27" s="199">
        <v>0</v>
      </c>
      <c r="O27" s="198">
        <v>0</v>
      </c>
      <c r="P27" s="198">
        <v>0</v>
      </c>
      <c r="Q27" s="198">
        <v>0</v>
      </c>
      <c r="R27" s="190" t="s">
        <v>415</v>
      </c>
      <c r="S27" s="187" t="s">
        <v>408</v>
      </c>
    </row>
    <row r="28" spans="1:19" x14ac:dyDescent="0.2">
      <c r="A28" s="195"/>
      <c r="B28" s="195"/>
      <c r="C28" s="195"/>
      <c r="D28" s="121"/>
      <c r="E28" s="191"/>
      <c r="F28" s="121"/>
      <c r="G28" s="121"/>
      <c r="H28" s="121"/>
      <c r="J28" s="195" t="s">
        <v>479</v>
      </c>
      <c r="K28" s="195" t="s">
        <v>26</v>
      </c>
      <c r="L28" s="195" t="s">
        <v>432</v>
      </c>
      <c r="M28" s="121" t="s">
        <v>322</v>
      </c>
      <c r="N28" s="196">
        <v>0</v>
      </c>
      <c r="O28" s="200">
        <v>0</v>
      </c>
      <c r="P28" s="200">
        <v>0</v>
      </c>
      <c r="Q28" s="200">
        <v>0</v>
      </c>
      <c r="S28" s="44" t="s">
        <v>215</v>
      </c>
    </row>
    <row r="29" spans="1:19" x14ac:dyDescent="0.2">
      <c r="A29" s="195"/>
      <c r="B29" s="195"/>
      <c r="C29" s="195"/>
      <c r="D29" s="121"/>
      <c r="E29" s="191"/>
      <c r="F29" s="121"/>
      <c r="G29" s="121"/>
      <c r="H29" s="121"/>
      <c r="J29" s="195" t="s">
        <v>479</v>
      </c>
      <c r="K29" s="195" t="s">
        <v>26</v>
      </c>
      <c r="L29" s="195" t="s">
        <v>432</v>
      </c>
      <c r="M29" s="121" t="s">
        <v>391</v>
      </c>
      <c r="N29" s="196">
        <v>0</v>
      </c>
      <c r="O29" s="200">
        <v>0</v>
      </c>
      <c r="P29" s="200">
        <v>0</v>
      </c>
      <c r="Q29" s="200">
        <v>0</v>
      </c>
      <c r="S29" s="44" t="s">
        <v>409</v>
      </c>
    </row>
    <row r="30" spans="1:19" ht="15" customHeight="1" x14ac:dyDescent="0.2">
      <c r="A30" s="195"/>
      <c r="B30" s="195"/>
      <c r="C30" s="195"/>
      <c r="D30" s="121"/>
      <c r="E30" s="191"/>
      <c r="F30" s="121"/>
      <c r="G30" s="121"/>
      <c r="H30" s="121"/>
      <c r="J30" s="195" t="s">
        <v>479</v>
      </c>
      <c r="K30" s="195" t="s">
        <v>26</v>
      </c>
      <c r="L30" s="195" t="s">
        <v>432</v>
      </c>
      <c r="M30" s="121" t="s">
        <v>392</v>
      </c>
      <c r="N30" s="196">
        <v>0</v>
      </c>
      <c r="O30" s="200">
        <v>0</v>
      </c>
      <c r="P30" s="200">
        <v>0</v>
      </c>
      <c r="Q30" s="200">
        <v>0</v>
      </c>
      <c r="S30" s="44" t="s">
        <v>410</v>
      </c>
    </row>
    <row r="31" spans="1:19" x14ac:dyDescent="0.2">
      <c r="A31" s="195"/>
      <c r="B31" s="195"/>
      <c r="C31" s="195"/>
      <c r="D31" s="121"/>
      <c r="E31" s="191"/>
      <c r="F31" s="121"/>
      <c r="G31" s="121"/>
      <c r="H31" s="121"/>
      <c r="J31" s="195" t="s">
        <v>479</v>
      </c>
      <c r="K31" s="195" t="s">
        <v>26</v>
      </c>
      <c r="L31" s="195" t="s">
        <v>432</v>
      </c>
      <c r="M31" s="121" t="s">
        <v>393</v>
      </c>
      <c r="N31" s="196">
        <v>0</v>
      </c>
      <c r="O31" s="200">
        <v>0</v>
      </c>
      <c r="P31" s="200">
        <v>0</v>
      </c>
      <c r="Q31" s="200">
        <v>0</v>
      </c>
      <c r="S31" s="44" t="s">
        <v>411</v>
      </c>
    </row>
    <row r="32" spans="1:19" x14ac:dyDescent="0.2">
      <c r="A32" s="195"/>
      <c r="B32" s="195"/>
      <c r="C32" s="195"/>
      <c r="D32" s="201"/>
      <c r="E32" s="202"/>
      <c r="F32" s="201"/>
      <c r="G32" s="201"/>
      <c r="H32" s="201"/>
      <c r="J32" s="195" t="s">
        <v>479</v>
      </c>
      <c r="K32" s="195" t="s">
        <v>26</v>
      </c>
      <c r="L32" s="195" t="s">
        <v>432</v>
      </c>
      <c r="M32" s="201" t="s">
        <v>394</v>
      </c>
      <c r="N32" s="203">
        <v>20450790.359999999</v>
      </c>
      <c r="O32" s="204">
        <v>1358</v>
      </c>
      <c r="P32" s="204">
        <v>1198</v>
      </c>
      <c r="Q32" s="204">
        <v>986</v>
      </c>
      <c r="S32" s="185" t="s">
        <v>412</v>
      </c>
    </row>
    <row r="33" spans="1:19" x14ac:dyDescent="0.2">
      <c r="A33" s="195"/>
      <c r="B33" s="195"/>
      <c r="C33" s="195"/>
      <c r="D33" s="121"/>
      <c r="E33" s="191"/>
      <c r="F33" s="121"/>
      <c r="G33" s="121"/>
      <c r="H33" s="121"/>
      <c r="J33" s="195" t="s">
        <v>479</v>
      </c>
      <c r="K33" s="195" t="s">
        <v>26</v>
      </c>
      <c r="L33" s="195" t="s">
        <v>432</v>
      </c>
      <c r="M33" s="121" t="s">
        <v>49</v>
      </c>
      <c r="N33" s="196">
        <v>240</v>
      </c>
      <c r="O33" s="200">
        <v>0</v>
      </c>
      <c r="P33" s="200">
        <v>0</v>
      </c>
      <c r="Q33" s="200">
        <v>0</v>
      </c>
      <c r="S33" s="44" t="s">
        <v>413</v>
      </c>
    </row>
    <row r="34" spans="1:19" x14ac:dyDescent="0.2">
      <c r="A34" s="195"/>
      <c r="B34" s="195"/>
      <c r="C34" s="195"/>
      <c r="D34" s="121"/>
      <c r="E34" s="191"/>
      <c r="F34" s="121"/>
      <c r="G34" s="121"/>
      <c r="H34" s="121"/>
      <c r="J34" s="195" t="s">
        <v>479</v>
      </c>
      <c r="K34" s="195" t="s">
        <v>26</v>
      </c>
      <c r="L34" s="195" t="s">
        <v>432</v>
      </c>
      <c r="M34" s="121" t="s">
        <v>50</v>
      </c>
      <c r="N34" s="196">
        <v>20</v>
      </c>
      <c r="O34" s="200">
        <v>0</v>
      </c>
      <c r="P34" s="200">
        <v>0</v>
      </c>
      <c r="Q34" s="200">
        <v>0</v>
      </c>
      <c r="S34" s="44" t="s">
        <v>414</v>
      </c>
    </row>
    <row r="35" spans="1:19" x14ac:dyDescent="0.2">
      <c r="D35" s="188" t="s">
        <v>89</v>
      </c>
      <c r="E35" s="192">
        <f>SUM(E3:E6,E21,E23)</f>
        <v>0</v>
      </c>
      <c r="F35" s="186">
        <f>SUM(F3:F6,F21,F23)</f>
        <v>0</v>
      </c>
      <c r="G35" s="186">
        <f>SUM(G3:G6,G21,G23)</f>
        <v>0</v>
      </c>
      <c r="H35" s="186">
        <f>SUM(H3:H6,H21,H23)</f>
        <v>0</v>
      </c>
      <c r="M35" s="188" t="s">
        <v>89</v>
      </c>
      <c r="N35" s="192">
        <f>SUM(N3:N6,N21,N23)</f>
        <v>9887540.620000001</v>
      </c>
      <c r="O35" s="186">
        <f>SUM(O3:O6,O21,O23)</f>
        <v>621</v>
      </c>
      <c r="P35" s="186">
        <f>SUM(P3:P6,P21,P23)</f>
        <v>545</v>
      </c>
      <c r="Q35" s="186">
        <f>SUM(Q3:Q6,Q21,Q23)</f>
        <v>465</v>
      </c>
    </row>
    <row r="36" spans="1:19" x14ac:dyDescent="0.2">
      <c r="D36" s="45" t="s">
        <v>99</v>
      </c>
      <c r="E36" s="94">
        <f>E3+E4+E5+E6+E21+E23</f>
        <v>0</v>
      </c>
      <c r="F36" s="121">
        <f>F3+F4+F5+F6+F21+F23</f>
        <v>0</v>
      </c>
      <c r="G36" s="121">
        <f>G3+G4+G5+G6+G21+G23</f>
        <v>0</v>
      </c>
      <c r="H36" s="121">
        <f>H3+H4+H5+H6+H21+H23</f>
        <v>0</v>
      </c>
      <c r="M36" s="45" t="s">
        <v>99</v>
      </c>
      <c r="N36" s="94">
        <f>N3+N4+N5+N6+N21+N23</f>
        <v>9887540.620000001</v>
      </c>
      <c r="O36" s="121">
        <f>O3+O4+O5+O6+O21+O23</f>
        <v>621</v>
      </c>
      <c r="P36" s="121">
        <f>P3+P4+P5+P6+P21+P23</f>
        <v>545</v>
      </c>
      <c r="Q36" s="121">
        <f>Q3+Q4+Q5+Q6+Q21+Q23</f>
        <v>465</v>
      </c>
    </row>
    <row r="37" spans="1:19" x14ac:dyDescent="0.2">
      <c r="D37" s="188" t="s">
        <v>272</v>
      </c>
      <c r="E37" s="192">
        <f>SUM(E3:E6,E15,E21,E23)</f>
        <v>0</v>
      </c>
      <c r="F37" s="186">
        <f>SUM(F3:F6,F15,F21,F23)</f>
        <v>0</v>
      </c>
      <c r="G37" s="186">
        <f>SUM(G3:G6,G15,G21,G23)</f>
        <v>0</v>
      </c>
      <c r="H37" s="186">
        <f>SUM(H3:H6,H15,H21,H23)</f>
        <v>0</v>
      </c>
      <c r="M37" s="188" t="s">
        <v>272</v>
      </c>
      <c r="N37" s="192">
        <f>SUM(N3:N6,N15,N21,N23)</f>
        <v>10162540.620000001</v>
      </c>
      <c r="O37" s="186">
        <f>SUM(O3:O6,O15,O21,O23)</f>
        <v>646</v>
      </c>
      <c r="P37" s="186">
        <f>SUM(P3:P6,P15,P21,P23)</f>
        <v>569</v>
      </c>
      <c r="Q37" s="186">
        <f>SUM(Q3:Q6,Q15,Q21,Q23)</f>
        <v>488</v>
      </c>
    </row>
    <row r="38" spans="1:19" x14ac:dyDescent="0.2">
      <c r="D38" s="45" t="s">
        <v>99</v>
      </c>
      <c r="E38" s="94">
        <f>E3+E4+E5+E6+E15+E21+E23</f>
        <v>0</v>
      </c>
      <c r="F38" s="121">
        <f>F3+F4+F5+F6+F15+F21+F23</f>
        <v>0</v>
      </c>
      <c r="G38" s="121">
        <f>G3+G4+G5+G6+G15+G21+G23</f>
        <v>0</v>
      </c>
      <c r="H38" s="121">
        <f>H3+H4+H5+H6+H15+H21+H23</f>
        <v>0</v>
      </c>
      <c r="M38" s="45" t="s">
        <v>99</v>
      </c>
      <c r="N38" s="94">
        <f>N3+N4+N5+N6+N15+N21+N23</f>
        <v>10162540.620000001</v>
      </c>
      <c r="O38" s="121">
        <f>O3+O4+O5+O6+O15+O21+O23</f>
        <v>646</v>
      </c>
      <c r="P38" s="121">
        <f>P3+P4+P5+P6+P15+P21+P23</f>
        <v>569</v>
      </c>
      <c r="Q38" s="121">
        <f>Q3+Q4+Q5+Q6+Q15+Q21+Q23</f>
        <v>488</v>
      </c>
    </row>
    <row r="39" spans="1:19" x14ac:dyDescent="0.2">
      <c r="D39" s="44"/>
      <c r="F39" s="45"/>
      <c r="G39" s="192" t="e">
        <f>SUM(H32)/G32*100</f>
        <v>#DIV/0!</v>
      </c>
      <c r="H39" s="193" t="e">
        <f>SUM(E32)/H32</f>
        <v>#DIV/0!</v>
      </c>
      <c r="P39" s="192">
        <f>SUM(Q32)/P32*100</f>
        <v>82.30383973288815</v>
      </c>
      <c r="Q39" s="193">
        <f>SUM(N32)/Q32</f>
        <v>20741.166693711966</v>
      </c>
    </row>
    <row r="40" spans="1:19" x14ac:dyDescent="0.2">
      <c r="D40" s="44"/>
      <c r="E40" s="196">
        <f>SUM(E3:E21,E23,E25:E31)</f>
        <v>0</v>
      </c>
      <c r="F40" s="200">
        <f>SUM(F3:F21,F23,F25:F31)</f>
        <v>0</v>
      </c>
      <c r="G40" s="200">
        <f>SUM(G3:G21,G23,G25:G31)</f>
        <v>0</v>
      </c>
      <c r="H40" s="200">
        <f>SUM(H3:H21,H23,H25:H31)</f>
        <v>0</v>
      </c>
      <c r="N40" s="196">
        <f>SUM(N3:N21,N23,N25:N31)</f>
        <v>10225395.18</v>
      </c>
      <c r="O40" s="200">
        <f>SUM(O3:O21,O23,O25:O31)</f>
        <v>679</v>
      </c>
      <c r="P40" s="200">
        <f>SUM(P3:P21,P23,P25:P31)</f>
        <v>599</v>
      </c>
      <c r="Q40" s="200">
        <f>SUM(Q3:Q21,Q23,Q25:Q31)</f>
        <v>493</v>
      </c>
    </row>
    <row r="41" spans="1:19" x14ac:dyDescent="0.2">
      <c r="D41" s="44"/>
      <c r="E41" s="191">
        <f>SUM(E2:E31)</f>
        <v>0</v>
      </c>
      <c r="F41" s="121">
        <f>SUM(F2:F31)</f>
        <v>0</v>
      </c>
      <c r="G41" s="121">
        <f>SUM(G2:G31)</f>
        <v>0</v>
      </c>
      <c r="H41" s="121">
        <f>SUM(H2:H31)</f>
        <v>0</v>
      </c>
      <c r="N41" s="191">
        <f>SUM(N2:N31)</f>
        <v>20450790.359999999</v>
      </c>
      <c r="O41" s="121">
        <f>SUM(O2:O31)</f>
        <v>1358</v>
      </c>
      <c r="P41" s="121">
        <f>SUM(P2:P31)</f>
        <v>1198</v>
      </c>
      <c r="Q41" s="121">
        <f>SUM(Q2:Q31)</f>
        <v>986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Arkusz36">
    <tabColor theme="0"/>
  </sheetPr>
  <dimension ref="A1:S41"/>
  <sheetViews>
    <sheetView zoomScale="80" zoomScaleNormal="80" workbookViewId="0">
      <selection activeCell="J1" sqref="J1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195" t="s">
        <v>22</v>
      </c>
      <c r="B1" s="195" t="s">
        <v>23</v>
      </c>
      <c r="C1" s="195" t="s">
        <v>24</v>
      </c>
      <c r="D1" s="121" t="s">
        <v>25</v>
      </c>
      <c r="E1" s="193" t="s">
        <v>387</v>
      </c>
      <c r="F1" s="191" t="s">
        <v>388</v>
      </c>
      <c r="G1" s="191" t="s">
        <v>389</v>
      </c>
      <c r="H1" s="191" t="s">
        <v>390</v>
      </c>
      <c r="J1" s="195" t="s">
        <v>22</v>
      </c>
      <c r="K1" s="195" t="s">
        <v>23</v>
      </c>
      <c r="L1" s="195" t="s">
        <v>24</v>
      </c>
      <c r="M1" s="121" t="s">
        <v>25</v>
      </c>
      <c r="N1" s="193" t="s">
        <v>387</v>
      </c>
      <c r="O1" s="191" t="s">
        <v>388</v>
      </c>
      <c r="P1" s="191" t="s">
        <v>389</v>
      </c>
      <c r="Q1" s="191" t="s">
        <v>390</v>
      </c>
    </row>
    <row r="2" spans="1:19" ht="15" customHeight="1" x14ac:dyDescent="0.2">
      <c r="A2" s="195"/>
      <c r="B2" s="195"/>
      <c r="C2" s="195"/>
      <c r="D2" s="121"/>
      <c r="E2" s="191"/>
      <c r="F2" s="121"/>
      <c r="G2" s="121"/>
      <c r="H2" s="121"/>
      <c r="J2" s="195" t="s">
        <v>479</v>
      </c>
      <c r="K2" s="195" t="s">
        <v>26</v>
      </c>
      <c r="L2" s="195" t="s">
        <v>431</v>
      </c>
      <c r="M2" s="121" t="s">
        <v>27</v>
      </c>
      <c r="N2" s="196">
        <v>11769190.51</v>
      </c>
      <c r="O2" s="200">
        <v>892</v>
      </c>
      <c r="P2" s="200">
        <v>748</v>
      </c>
      <c r="Q2" s="200">
        <v>625</v>
      </c>
      <c r="S2" s="44" t="s">
        <v>395</v>
      </c>
    </row>
    <row r="3" spans="1:19" x14ac:dyDescent="0.2">
      <c r="A3" s="195"/>
      <c r="B3" s="195"/>
      <c r="C3" s="195"/>
      <c r="D3" s="121"/>
      <c r="E3" s="191"/>
      <c r="F3" s="121"/>
      <c r="G3" s="121"/>
      <c r="H3" s="121"/>
      <c r="I3" s="186">
        <v>1</v>
      </c>
      <c r="J3" s="195" t="s">
        <v>479</v>
      </c>
      <c r="K3" s="195" t="s">
        <v>26</v>
      </c>
      <c r="L3" s="195" t="s">
        <v>431</v>
      </c>
      <c r="M3" s="121" t="s">
        <v>28</v>
      </c>
      <c r="N3" s="197">
        <v>3419607.03</v>
      </c>
      <c r="O3" s="198">
        <v>329</v>
      </c>
      <c r="P3" s="198">
        <v>247</v>
      </c>
      <c r="Q3" s="198">
        <v>194</v>
      </c>
      <c r="R3" s="186">
        <v>1</v>
      </c>
      <c r="S3" s="187" t="s">
        <v>396</v>
      </c>
    </row>
    <row r="4" spans="1:19" x14ac:dyDescent="0.2">
      <c r="A4" s="195"/>
      <c r="B4" s="195"/>
      <c r="C4" s="195"/>
      <c r="D4" s="121"/>
      <c r="E4" s="191"/>
      <c r="F4" s="121"/>
      <c r="G4" s="121"/>
      <c r="H4" s="121"/>
      <c r="I4" s="186">
        <v>2</v>
      </c>
      <c r="J4" s="195" t="s">
        <v>479</v>
      </c>
      <c r="K4" s="195" t="s">
        <v>26</v>
      </c>
      <c r="L4" s="195" t="s">
        <v>431</v>
      </c>
      <c r="M4" s="121" t="s">
        <v>29</v>
      </c>
      <c r="N4" s="197">
        <v>92090.02</v>
      </c>
      <c r="O4" s="198">
        <v>14</v>
      </c>
      <c r="P4" s="198">
        <v>14</v>
      </c>
      <c r="Q4" s="198">
        <v>8</v>
      </c>
      <c r="R4" s="186">
        <v>2</v>
      </c>
      <c r="S4" s="187" t="s">
        <v>397</v>
      </c>
    </row>
    <row r="5" spans="1:19" x14ac:dyDescent="0.2">
      <c r="A5" s="195"/>
      <c r="B5" s="195"/>
      <c r="C5" s="195"/>
      <c r="D5" s="121"/>
      <c r="E5" s="191"/>
      <c r="F5" s="121"/>
      <c r="G5" s="121"/>
      <c r="H5" s="121"/>
      <c r="I5" s="186">
        <v>3</v>
      </c>
      <c r="J5" s="195" t="s">
        <v>479</v>
      </c>
      <c r="K5" s="195" t="s">
        <v>26</v>
      </c>
      <c r="L5" s="195" t="s">
        <v>431</v>
      </c>
      <c r="M5" s="121" t="s">
        <v>30</v>
      </c>
      <c r="N5" s="197">
        <v>2335909.75</v>
      </c>
      <c r="O5" s="198">
        <v>349</v>
      </c>
      <c r="P5" s="198">
        <v>254</v>
      </c>
      <c r="Q5" s="198">
        <v>204</v>
      </c>
      <c r="R5" s="186">
        <v>3</v>
      </c>
      <c r="S5" s="187" t="s">
        <v>399</v>
      </c>
    </row>
    <row r="6" spans="1:19" x14ac:dyDescent="0.2">
      <c r="A6" s="195"/>
      <c r="B6" s="195"/>
      <c r="C6" s="195"/>
      <c r="D6" s="121"/>
      <c r="E6" s="191"/>
      <c r="F6" s="121"/>
      <c r="G6" s="121"/>
      <c r="H6" s="121"/>
      <c r="I6" s="186">
        <v>4</v>
      </c>
      <c r="J6" s="195" t="s">
        <v>479</v>
      </c>
      <c r="K6" s="195" t="s">
        <v>26</v>
      </c>
      <c r="L6" s="195" t="s">
        <v>431</v>
      </c>
      <c r="M6" s="121" t="s">
        <v>31</v>
      </c>
      <c r="N6" s="197">
        <v>498058.8</v>
      </c>
      <c r="O6" s="198">
        <v>48</v>
      </c>
      <c r="P6" s="198">
        <v>45</v>
      </c>
      <c r="Q6" s="198">
        <v>45</v>
      </c>
      <c r="R6" s="186">
        <v>4</v>
      </c>
      <c r="S6" s="187" t="s">
        <v>398</v>
      </c>
    </row>
    <row r="7" spans="1:19" x14ac:dyDescent="0.2">
      <c r="A7" s="195"/>
      <c r="B7" s="195"/>
      <c r="C7" s="195"/>
      <c r="D7" s="121"/>
      <c r="E7" s="191"/>
      <c r="F7" s="121"/>
      <c r="G7" s="121"/>
      <c r="H7" s="121"/>
      <c r="I7" s="189" t="s">
        <v>417</v>
      </c>
      <c r="J7" s="195" t="s">
        <v>479</v>
      </c>
      <c r="K7" s="195" t="s">
        <v>26</v>
      </c>
      <c r="L7" s="195" t="s">
        <v>431</v>
      </c>
      <c r="M7" s="121" t="s">
        <v>32</v>
      </c>
      <c r="N7" s="199">
        <v>0</v>
      </c>
      <c r="O7" s="198">
        <v>0</v>
      </c>
      <c r="P7" s="198">
        <v>0</v>
      </c>
      <c r="Q7" s="198">
        <v>0</v>
      </c>
      <c r="R7" s="189" t="s">
        <v>417</v>
      </c>
      <c r="S7" s="187" t="s">
        <v>400</v>
      </c>
    </row>
    <row r="8" spans="1:19" x14ac:dyDescent="0.2">
      <c r="A8" s="195"/>
      <c r="B8" s="195"/>
      <c r="C8" s="195"/>
      <c r="D8" s="121"/>
      <c r="E8" s="191"/>
      <c r="F8" s="121"/>
      <c r="G8" s="121"/>
      <c r="H8" s="121"/>
      <c r="I8" s="121"/>
      <c r="J8" s="195" t="s">
        <v>479</v>
      </c>
      <c r="K8" s="195" t="s">
        <v>26</v>
      </c>
      <c r="L8" s="195" t="s">
        <v>431</v>
      </c>
      <c r="M8" s="121" t="s">
        <v>33</v>
      </c>
      <c r="N8" s="196">
        <v>0</v>
      </c>
      <c r="O8" s="200">
        <v>0</v>
      </c>
      <c r="P8" s="200">
        <v>0</v>
      </c>
      <c r="Q8" s="200">
        <v>0</v>
      </c>
      <c r="R8" s="121"/>
      <c r="S8" s="44" t="s">
        <v>401</v>
      </c>
    </row>
    <row r="9" spans="1:19" x14ac:dyDescent="0.2">
      <c r="A9" s="195"/>
      <c r="B9" s="195"/>
      <c r="C9" s="195"/>
      <c r="D9" s="121"/>
      <c r="E9" s="191"/>
      <c r="F9" s="121"/>
      <c r="G9" s="121"/>
      <c r="H9" s="121"/>
      <c r="I9" s="121"/>
      <c r="J9" s="195" t="s">
        <v>479</v>
      </c>
      <c r="K9" s="195" t="s">
        <v>26</v>
      </c>
      <c r="L9" s="195" t="s">
        <v>431</v>
      </c>
      <c r="M9" s="121" t="s">
        <v>34</v>
      </c>
      <c r="N9" s="196">
        <v>0</v>
      </c>
      <c r="O9" s="200">
        <v>0</v>
      </c>
      <c r="P9" s="200">
        <v>0</v>
      </c>
      <c r="Q9" s="200">
        <v>0</v>
      </c>
      <c r="R9" s="121"/>
      <c r="S9" s="44" t="s">
        <v>6</v>
      </c>
    </row>
    <row r="10" spans="1:19" ht="15" customHeight="1" x14ac:dyDescent="0.2">
      <c r="A10" s="195"/>
      <c r="B10" s="195"/>
      <c r="C10" s="195"/>
      <c r="D10" s="121"/>
      <c r="E10" s="191"/>
      <c r="F10" s="121"/>
      <c r="G10" s="121"/>
      <c r="H10" s="121"/>
      <c r="I10" s="121"/>
      <c r="J10" s="195" t="s">
        <v>479</v>
      </c>
      <c r="K10" s="195" t="s">
        <v>26</v>
      </c>
      <c r="L10" s="195" t="s">
        <v>431</v>
      </c>
      <c r="M10" s="121" t="s">
        <v>35</v>
      </c>
      <c r="N10" s="196">
        <v>0</v>
      </c>
      <c r="O10" s="200">
        <v>0</v>
      </c>
      <c r="P10" s="200">
        <v>0</v>
      </c>
      <c r="Q10" s="200">
        <v>0</v>
      </c>
      <c r="R10" s="121"/>
      <c r="S10" s="44" t="s">
        <v>402</v>
      </c>
    </row>
    <row r="11" spans="1:19" ht="15" customHeight="1" x14ac:dyDescent="0.2">
      <c r="A11" s="195"/>
      <c r="B11" s="195"/>
      <c r="C11" s="195"/>
      <c r="D11" s="121"/>
      <c r="E11" s="191"/>
      <c r="F11" s="121"/>
      <c r="G11" s="121"/>
      <c r="H11" s="121"/>
      <c r="I11" s="121"/>
      <c r="J11" s="195" t="s">
        <v>479</v>
      </c>
      <c r="K11" s="195" t="s">
        <v>26</v>
      </c>
      <c r="L11" s="195" t="s">
        <v>431</v>
      </c>
      <c r="M11" s="121" t="s">
        <v>36</v>
      </c>
      <c r="N11" s="196">
        <v>0</v>
      </c>
      <c r="O11" s="200">
        <v>0</v>
      </c>
      <c r="P11" s="200">
        <v>0</v>
      </c>
      <c r="Q11" s="200">
        <v>0</v>
      </c>
      <c r="R11" s="121"/>
      <c r="S11" s="44" t="s">
        <v>8</v>
      </c>
    </row>
    <row r="12" spans="1:19" x14ac:dyDescent="0.2">
      <c r="A12" s="195"/>
      <c r="B12" s="195"/>
      <c r="C12" s="195"/>
      <c r="D12" s="121"/>
      <c r="E12" s="191"/>
      <c r="F12" s="121"/>
      <c r="G12" s="121"/>
      <c r="H12" s="121"/>
      <c r="I12" s="121"/>
      <c r="J12" s="195" t="s">
        <v>479</v>
      </c>
      <c r="K12" s="195" t="s">
        <v>26</v>
      </c>
      <c r="L12" s="195" t="s">
        <v>431</v>
      </c>
      <c r="M12" s="121" t="s">
        <v>37</v>
      </c>
      <c r="N12" s="196">
        <v>0</v>
      </c>
      <c r="O12" s="200">
        <v>0</v>
      </c>
      <c r="P12" s="200">
        <v>0</v>
      </c>
      <c r="Q12" s="200">
        <v>0</v>
      </c>
      <c r="R12" s="121"/>
      <c r="S12" s="44" t="s">
        <v>403</v>
      </c>
    </row>
    <row r="13" spans="1:19" x14ac:dyDescent="0.2">
      <c r="A13" s="195"/>
      <c r="B13" s="195"/>
      <c r="C13" s="195"/>
      <c r="D13" s="121"/>
      <c r="E13" s="191"/>
      <c r="F13" s="121"/>
      <c r="G13" s="121"/>
      <c r="H13" s="121"/>
      <c r="I13" s="189" t="s">
        <v>419</v>
      </c>
      <c r="J13" s="195" t="s">
        <v>479</v>
      </c>
      <c r="K13" s="195" t="s">
        <v>26</v>
      </c>
      <c r="L13" s="195" t="s">
        <v>431</v>
      </c>
      <c r="M13" s="121" t="s">
        <v>26</v>
      </c>
      <c r="N13" s="199">
        <v>2835.6</v>
      </c>
      <c r="O13" s="198">
        <v>2</v>
      </c>
      <c r="P13" s="198">
        <v>0</v>
      </c>
      <c r="Q13" s="198">
        <v>0</v>
      </c>
      <c r="R13" s="189" t="s">
        <v>419</v>
      </c>
      <c r="S13" s="187" t="s">
        <v>9</v>
      </c>
    </row>
    <row r="14" spans="1:19" ht="15" customHeight="1" x14ac:dyDescent="0.2">
      <c r="A14" s="195"/>
      <c r="B14" s="195"/>
      <c r="C14" s="195"/>
      <c r="D14" s="121"/>
      <c r="E14" s="191"/>
      <c r="F14" s="121"/>
      <c r="G14" s="121"/>
      <c r="H14" s="121"/>
      <c r="I14" s="121"/>
      <c r="J14" s="195" t="s">
        <v>479</v>
      </c>
      <c r="K14" s="195" t="s">
        <v>26</v>
      </c>
      <c r="L14" s="195" t="s">
        <v>431</v>
      </c>
      <c r="M14" s="121" t="s">
        <v>38</v>
      </c>
      <c r="N14" s="196">
        <v>0</v>
      </c>
      <c r="O14" s="200">
        <v>0</v>
      </c>
      <c r="P14" s="200">
        <v>0</v>
      </c>
      <c r="Q14" s="200">
        <v>0</v>
      </c>
      <c r="R14" s="121"/>
      <c r="S14" s="44" t="s">
        <v>404</v>
      </c>
    </row>
    <row r="15" spans="1:19" ht="15" customHeight="1" x14ac:dyDescent="0.2">
      <c r="A15" s="195"/>
      <c r="B15" s="195"/>
      <c r="C15" s="195"/>
      <c r="D15" s="121"/>
      <c r="E15" s="191"/>
      <c r="F15" s="121"/>
      <c r="G15" s="121"/>
      <c r="H15" s="121"/>
      <c r="I15" s="189" t="s">
        <v>51</v>
      </c>
      <c r="J15" s="195" t="s">
        <v>479</v>
      </c>
      <c r="K15" s="195" t="s">
        <v>26</v>
      </c>
      <c r="L15" s="195" t="s">
        <v>431</v>
      </c>
      <c r="M15" s="121" t="s">
        <v>39</v>
      </c>
      <c r="N15" s="199">
        <v>168000</v>
      </c>
      <c r="O15" s="198">
        <v>21</v>
      </c>
      <c r="P15" s="198">
        <v>12</v>
      </c>
      <c r="Q15" s="198">
        <v>12</v>
      </c>
      <c r="R15" s="189" t="s">
        <v>51</v>
      </c>
      <c r="S15" s="187" t="s">
        <v>11</v>
      </c>
    </row>
    <row r="16" spans="1:19" x14ac:dyDescent="0.2">
      <c r="A16" s="195"/>
      <c r="B16" s="195"/>
      <c r="C16" s="195"/>
      <c r="D16" s="121"/>
      <c r="E16" s="191"/>
      <c r="F16" s="121"/>
      <c r="G16" s="121"/>
      <c r="H16" s="121"/>
      <c r="I16" s="189" t="s">
        <v>418</v>
      </c>
      <c r="J16" s="195" t="s">
        <v>479</v>
      </c>
      <c r="K16" s="195" t="s">
        <v>26</v>
      </c>
      <c r="L16" s="195" t="s">
        <v>431</v>
      </c>
      <c r="M16" s="121" t="s">
        <v>40</v>
      </c>
      <c r="N16" s="199">
        <v>0</v>
      </c>
      <c r="O16" s="198">
        <v>0</v>
      </c>
      <c r="P16" s="198">
        <v>0</v>
      </c>
      <c r="Q16" s="198">
        <v>0</v>
      </c>
      <c r="R16" s="189" t="s">
        <v>418</v>
      </c>
      <c r="S16" s="187" t="s">
        <v>405</v>
      </c>
    </row>
    <row r="17" spans="1:19" x14ac:dyDescent="0.2">
      <c r="A17" s="195"/>
      <c r="B17" s="195"/>
      <c r="C17" s="195"/>
      <c r="D17" s="121"/>
      <c r="E17" s="191"/>
      <c r="F17" s="121"/>
      <c r="G17" s="121"/>
      <c r="H17" s="121"/>
      <c r="I17" s="121"/>
      <c r="J17" s="195" t="s">
        <v>479</v>
      </c>
      <c r="K17" s="195" t="s">
        <v>26</v>
      </c>
      <c r="L17" s="195" t="s">
        <v>431</v>
      </c>
      <c r="M17" s="121" t="s">
        <v>41</v>
      </c>
      <c r="N17" s="196">
        <v>0</v>
      </c>
      <c r="O17" s="200">
        <v>0</v>
      </c>
      <c r="P17" s="200">
        <v>0</v>
      </c>
      <c r="Q17" s="200">
        <v>0</v>
      </c>
      <c r="R17" s="121"/>
      <c r="S17" s="44" t="s">
        <v>406</v>
      </c>
    </row>
    <row r="18" spans="1:19" ht="15" customHeight="1" x14ac:dyDescent="0.2">
      <c r="A18" s="195"/>
      <c r="B18" s="195"/>
      <c r="C18" s="195"/>
      <c r="D18" s="121"/>
      <c r="E18" s="191"/>
      <c r="F18" s="121"/>
      <c r="G18" s="121"/>
      <c r="H18" s="121"/>
      <c r="I18" s="189" t="s">
        <v>420</v>
      </c>
      <c r="J18" s="195" t="s">
        <v>479</v>
      </c>
      <c r="K18" s="195" t="s">
        <v>26</v>
      </c>
      <c r="L18" s="195" t="s">
        <v>431</v>
      </c>
      <c r="M18" s="121" t="s">
        <v>42</v>
      </c>
      <c r="N18" s="199">
        <v>0</v>
      </c>
      <c r="O18" s="198">
        <v>0</v>
      </c>
      <c r="P18" s="198">
        <v>0</v>
      </c>
      <c r="Q18" s="198">
        <v>0</v>
      </c>
      <c r="R18" s="189" t="s">
        <v>420</v>
      </c>
      <c r="S18" s="187" t="s">
        <v>376</v>
      </c>
    </row>
    <row r="19" spans="1:19" ht="15" customHeight="1" x14ac:dyDescent="0.2">
      <c r="A19" s="195"/>
      <c r="B19" s="195"/>
      <c r="C19" s="195"/>
      <c r="D19" s="121"/>
      <c r="E19" s="191"/>
      <c r="F19" s="121"/>
      <c r="G19" s="121"/>
      <c r="H19" s="121"/>
      <c r="I19" s="189" t="s">
        <v>416</v>
      </c>
      <c r="J19" s="195" t="s">
        <v>479</v>
      </c>
      <c r="K19" s="195" t="s">
        <v>26</v>
      </c>
      <c r="L19" s="195" t="s">
        <v>431</v>
      </c>
      <c r="M19" s="121" t="s">
        <v>43</v>
      </c>
      <c r="N19" s="199">
        <v>0</v>
      </c>
      <c r="O19" s="198">
        <v>0</v>
      </c>
      <c r="P19" s="198">
        <v>0</v>
      </c>
      <c r="Q19" s="198">
        <v>0</v>
      </c>
      <c r="R19" s="189" t="s">
        <v>416</v>
      </c>
      <c r="S19" s="187" t="s">
        <v>377</v>
      </c>
    </row>
    <row r="20" spans="1:19" x14ac:dyDescent="0.2">
      <c r="A20" s="195"/>
      <c r="B20" s="195"/>
      <c r="C20" s="195"/>
      <c r="D20" s="121"/>
      <c r="E20" s="191"/>
      <c r="F20" s="121"/>
      <c r="G20" s="121"/>
      <c r="H20" s="121"/>
      <c r="I20" s="121"/>
      <c r="J20" s="195" t="s">
        <v>479</v>
      </c>
      <c r="K20" s="195" t="s">
        <v>26</v>
      </c>
      <c r="L20" s="195" t="s">
        <v>431</v>
      </c>
      <c r="M20" s="121" t="s">
        <v>44</v>
      </c>
      <c r="N20" s="196">
        <v>0</v>
      </c>
      <c r="O20" s="200">
        <v>0</v>
      </c>
      <c r="P20" s="200">
        <v>0</v>
      </c>
      <c r="Q20" s="200">
        <v>0</v>
      </c>
      <c r="R20" s="121"/>
      <c r="S20" s="44" t="s">
        <v>15</v>
      </c>
    </row>
    <row r="21" spans="1:19" x14ac:dyDescent="0.2">
      <c r="A21" s="195"/>
      <c r="B21" s="195"/>
      <c r="C21" s="195"/>
      <c r="D21" s="121"/>
      <c r="E21" s="191"/>
      <c r="F21" s="121"/>
      <c r="G21" s="121"/>
      <c r="H21" s="121"/>
      <c r="I21" s="186">
        <v>6</v>
      </c>
      <c r="J21" s="195" t="s">
        <v>479</v>
      </c>
      <c r="K21" s="195" t="s">
        <v>26</v>
      </c>
      <c r="L21" s="195" t="s">
        <v>431</v>
      </c>
      <c r="M21" s="121" t="s">
        <v>45</v>
      </c>
      <c r="N21" s="197">
        <v>2341423.27</v>
      </c>
      <c r="O21" s="198">
        <v>49</v>
      </c>
      <c r="P21" s="198">
        <v>71</v>
      </c>
      <c r="Q21" s="198">
        <v>71</v>
      </c>
      <c r="R21" s="186">
        <v>6</v>
      </c>
      <c r="S21" s="187" t="s">
        <v>16</v>
      </c>
    </row>
    <row r="22" spans="1:19" x14ac:dyDescent="0.2">
      <c r="A22" s="195"/>
      <c r="B22" s="195"/>
      <c r="C22" s="195"/>
      <c r="D22" s="121"/>
      <c r="E22" s="191"/>
      <c r="F22" s="121"/>
      <c r="G22" s="121"/>
      <c r="H22" s="121"/>
      <c r="I22" s="121"/>
      <c r="J22" s="195" t="s">
        <v>479</v>
      </c>
      <c r="K22" s="195" t="s">
        <v>26</v>
      </c>
      <c r="L22" s="195" t="s">
        <v>431</v>
      </c>
      <c r="M22" s="121" t="s">
        <v>46</v>
      </c>
      <c r="N22" s="196">
        <v>0</v>
      </c>
      <c r="O22" s="200">
        <v>0</v>
      </c>
      <c r="P22" s="200">
        <v>0</v>
      </c>
      <c r="Q22" s="200">
        <v>0</v>
      </c>
      <c r="R22" s="121"/>
      <c r="S22" s="44" t="s">
        <v>407</v>
      </c>
    </row>
    <row r="23" spans="1:19" ht="15" customHeight="1" x14ac:dyDescent="0.2">
      <c r="A23" s="195"/>
      <c r="B23" s="195"/>
      <c r="C23" s="195"/>
      <c r="D23" s="121"/>
      <c r="E23" s="191"/>
      <c r="F23" s="121"/>
      <c r="G23" s="121"/>
      <c r="H23" s="121"/>
      <c r="I23" s="186">
        <v>5</v>
      </c>
      <c r="J23" s="195" t="s">
        <v>479</v>
      </c>
      <c r="K23" s="195" t="s">
        <v>26</v>
      </c>
      <c r="L23" s="195" t="s">
        <v>431</v>
      </c>
      <c r="M23" s="121" t="s">
        <v>47</v>
      </c>
      <c r="N23" s="197">
        <v>2719598.49</v>
      </c>
      <c r="O23" s="198">
        <v>66</v>
      </c>
      <c r="P23" s="198">
        <v>98</v>
      </c>
      <c r="Q23" s="198">
        <v>84</v>
      </c>
      <c r="R23" s="186">
        <v>5</v>
      </c>
      <c r="S23" s="187" t="s">
        <v>17</v>
      </c>
    </row>
    <row r="24" spans="1:19" ht="15" customHeight="1" x14ac:dyDescent="0.2">
      <c r="A24" s="195"/>
      <c r="B24" s="195"/>
      <c r="C24" s="195"/>
      <c r="D24" s="121"/>
      <c r="E24" s="191"/>
      <c r="F24" s="121"/>
      <c r="G24" s="121"/>
      <c r="H24" s="121"/>
      <c r="I24" s="45"/>
      <c r="J24" s="195" t="s">
        <v>479</v>
      </c>
      <c r="K24" s="195" t="s">
        <v>26</v>
      </c>
      <c r="L24" s="195" t="s">
        <v>431</v>
      </c>
      <c r="M24" s="121" t="s">
        <v>48</v>
      </c>
      <c r="N24" s="196">
        <v>0</v>
      </c>
      <c r="O24" s="200">
        <v>0</v>
      </c>
      <c r="P24" s="200">
        <v>0</v>
      </c>
      <c r="Q24" s="200">
        <v>0</v>
      </c>
      <c r="S24" s="44" t="s">
        <v>407</v>
      </c>
    </row>
    <row r="25" spans="1:19" ht="15" customHeight="1" x14ac:dyDescent="0.2">
      <c r="A25" s="195"/>
      <c r="B25" s="195"/>
      <c r="C25" s="195"/>
      <c r="D25" s="121"/>
      <c r="E25" s="191"/>
      <c r="F25" s="121"/>
      <c r="G25" s="121"/>
      <c r="H25" s="121"/>
      <c r="I25" s="45"/>
      <c r="J25" s="195" t="s">
        <v>479</v>
      </c>
      <c r="K25" s="195" t="s">
        <v>26</v>
      </c>
      <c r="L25" s="195" t="s">
        <v>431</v>
      </c>
      <c r="M25" s="121" t="s">
        <v>319</v>
      </c>
      <c r="N25" s="196">
        <v>0</v>
      </c>
      <c r="O25" s="200">
        <v>0</v>
      </c>
      <c r="P25" s="200">
        <v>0</v>
      </c>
      <c r="Q25" s="200">
        <v>0</v>
      </c>
      <c r="S25" s="44" t="s">
        <v>18</v>
      </c>
    </row>
    <row r="26" spans="1:19" ht="15" customHeight="1" x14ac:dyDescent="0.2">
      <c r="A26" s="195"/>
      <c r="B26" s="195"/>
      <c r="C26" s="195"/>
      <c r="D26" s="121"/>
      <c r="E26" s="191"/>
      <c r="F26" s="121"/>
      <c r="G26" s="121"/>
      <c r="H26" s="121"/>
      <c r="I26" s="190" t="s">
        <v>421</v>
      </c>
      <c r="J26" s="195" t="s">
        <v>479</v>
      </c>
      <c r="K26" s="195" t="s">
        <v>26</v>
      </c>
      <c r="L26" s="195" t="s">
        <v>431</v>
      </c>
      <c r="M26" s="121" t="s">
        <v>320</v>
      </c>
      <c r="N26" s="199">
        <v>0</v>
      </c>
      <c r="O26" s="198">
        <v>0</v>
      </c>
      <c r="P26" s="198">
        <v>0</v>
      </c>
      <c r="Q26" s="198">
        <v>0</v>
      </c>
      <c r="R26" s="190" t="s">
        <v>421</v>
      </c>
      <c r="S26" s="187" t="s">
        <v>358</v>
      </c>
    </row>
    <row r="27" spans="1:19" x14ac:dyDescent="0.2">
      <c r="A27" s="195"/>
      <c r="B27" s="195"/>
      <c r="C27" s="195"/>
      <c r="D27" s="121"/>
      <c r="E27" s="191"/>
      <c r="F27" s="121"/>
      <c r="G27" s="121"/>
      <c r="H27" s="121"/>
      <c r="I27" s="190" t="s">
        <v>415</v>
      </c>
      <c r="J27" s="195" t="s">
        <v>479</v>
      </c>
      <c r="K27" s="195" t="s">
        <v>26</v>
      </c>
      <c r="L27" s="195" t="s">
        <v>431</v>
      </c>
      <c r="M27" s="121" t="s">
        <v>321</v>
      </c>
      <c r="N27" s="199">
        <v>191667.55</v>
      </c>
      <c r="O27" s="198">
        <v>14</v>
      </c>
      <c r="P27" s="198">
        <v>7</v>
      </c>
      <c r="Q27" s="198">
        <v>7</v>
      </c>
      <c r="R27" s="190" t="s">
        <v>415</v>
      </c>
      <c r="S27" s="187" t="s">
        <v>408</v>
      </c>
    </row>
    <row r="28" spans="1:19" x14ac:dyDescent="0.2">
      <c r="A28" s="195"/>
      <c r="B28" s="195"/>
      <c r="C28" s="195"/>
      <c r="D28" s="121"/>
      <c r="E28" s="191"/>
      <c r="F28" s="121"/>
      <c r="G28" s="121"/>
      <c r="H28" s="121"/>
      <c r="J28" s="195" t="s">
        <v>479</v>
      </c>
      <c r="K28" s="195" t="s">
        <v>26</v>
      </c>
      <c r="L28" s="195" t="s">
        <v>431</v>
      </c>
      <c r="M28" s="121" t="s">
        <v>322</v>
      </c>
      <c r="N28" s="196">
        <v>0</v>
      </c>
      <c r="O28" s="200">
        <v>0</v>
      </c>
      <c r="P28" s="200">
        <v>0</v>
      </c>
      <c r="Q28" s="200">
        <v>0</v>
      </c>
      <c r="S28" s="44" t="s">
        <v>215</v>
      </c>
    </row>
    <row r="29" spans="1:19" x14ac:dyDescent="0.2">
      <c r="A29" s="195"/>
      <c r="B29" s="195"/>
      <c r="C29" s="195"/>
      <c r="D29" s="121"/>
      <c r="E29" s="191"/>
      <c r="F29" s="121"/>
      <c r="G29" s="121"/>
      <c r="H29" s="121"/>
      <c r="J29" s="195" t="s">
        <v>479</v>
      </c>
      <c r="K29" s="195" t="s">
        <v>26</v>
      </c>
      <c r="L29" s="195" t="s">
        <v>431</v>
      </c>
      <c r="M29" s="121" t="s">
        <v>391</v>
      </c>
      <c r="N29" s="196">
        <v>0</v>
      </c>
      <c r="O29" s="200">
        <v>0</v>
      </c>
      <c r="P29" s="200">
        <v>0</v>
      </c>
      <c r="Q29" s="200">
        <v>0</v>
      </c>
      <c r="S29" s="44" t="s">
        <v>409</v>
      </c>
    </row>
    <row r="30" spans="1:19" ht="15" customHeight="1" x14ac:dyDescent="0.2">
      <c r="A30" s="195"/>
      <c r="B30" s="195"/>
      <c r="C30" s="195"/>
      <c r="D30" s="121"/>
      <c r="E30" s="191"/>
      <c r="F30" s="121"/>
      <c r="G30" s="121"/>
      <c r="H30" s="121"/>
      <c r="J30" s="195" t="s">
        <v>479</v>
      </c>
      <c r="K30" s="195" t="s">
        <v>26</v>
      </c>
      <c r="L30" s="195" t="s">
        <v>431</v>
      </c>
      <c r="M30" s="121" t="s">
        <v>392</v>
      </c>
      <c r="N30" s="196">
        <v>0</v>
      </c>
      <c r="O30" s="200">
        <v>0</v>
      </c>
      <c r="P30" s="200">
        <v>0</v>
      </c>
      <c r="Q30" s="200">
        <v>0</v>
      </c>
      <c r="S30" s="44" t="s">
        <v>410</v>
      </c>
    </row>
    <row r="31" spans="1:19" x14ac:dyDescent="0.2">
      <c r="A31" s="195"/>
      <c r="B31" s="195"/>
      <c r="C31" s="195"/>
      <c r="D31" s="121"/>
      <c r="E31" s="191"/>
      <c r="F31" s="121"/>
      <c r="G31" s="121"/>
      <c r="H31" s="121"/>
      <c r="J31" s="195" t="s">
        <v>479</v>
      </c>
      <c r="K31" s="195" t="s">
        <v>26</v>
      </c>
      <c r="L31" s="195" t="s">
        <v>431</v>
      </c>
      <c r="M31" s="121" t="s">
        <v>393</v>
      </c>
      <c r="N31" s="196">
        <v>0</v>
      </c>
      <c r="O31" s="200">
        <v>0</v>
      </c>
      <c r="P31" s="200">
        <v>0</v>
      </c>
      <c r="Q31" s="200">
        <v>0</v>
      </c>
      <c r="S31" s="44" t="s">
        <v>411</v>
      </c>
    </row>
    <row r="32" spans="1:19" x14ac:dyDescent="0.2">
      <c r="A32" s="195"/>
      <c r="B32" s="195"/>
      <c r="C32" s="195"/>
      <c r="D32" s="201"/>
      <c r="E32" s="202"/>
      <c r="F32" s="201"/>
      <c r="G32" s="201"/>
      <c r="H32" s="201"/>
      <c r="J32" s="195" t="s">
        <v>479</v>
      </c>
      <c r="K32" s="195" t="s">
        <v>26</v>
      </c>
      <c r="L32" s="195" t="s">
        <v>431</v>
      </c>
      <c r="M32" s="201" t="s">
        <v>394</v>
      </c>
      <c r="N32" s="203">
        <v>23538381.02</v>
      </c>
      <c r="O32" s="204">
        <v>1784</v>
      </c>
      <c r="P32" s="204">
        <v>1496</v>
      </c>
      <c r="Q32" s="204">
        <v>1250</v>
      </c>
      <c r="S32" s="185" t="s">
        <v>412</v>
      </c>
    </row>
    <row r="33" spans="1:19" x14ac:dyDescent="0.2">
      <c r="A33" s="195"/>
      <c r="B33" s="195"/>
      <c r="C33" s="195"/>
      <c r="D33" s="121"/>
      <c r="E33" s="191"/>
      <c r="F33" s="121"/>
      <c r="G33" s="121"/>
      <c r="H33" s="121"/>
      <c r="J33" s="195" t="s">
        <v>479</v>
      </c>
      <c r="K33" s="195" t="s">
        <v>26</v>
      </c>
      <c r="L33" s="195" t="s">
        <v>431</v>
      </c>
      <c r="M33" s="121" t="s">
        <v>49</v>
      </c>
      <c r="N33" s="196">
        <v>600</v>
      </c>
      <c r="O33" s="200">
        <v>0</v>
      </c>
      <c r="P33" s="200">
        <v>0</v>
      </c>
      <c r="Q33" s="200">
        <v>0</v>
      </c>
      <c r="S33" s="44" t="s">
        <v>413</v>
      </c>
    </row>
    <row r="34" spans="1:19" x14ac:dyDescent="0.2">
      <c r="A34" s="195"/>
      <c r="B34" s="195"/>
      <c r="C34" s="195"/>
      <c r="D34" s="121"/>
      <c r="E34" s="191"/>
      <c r="F34" s="121"/>
      <c r="G34" s="121"/>
      <c r="H34" s="121"/>
      <c r="J34" s="195" t="s">
        <v>479</v>
      </c>
      <c r="K34" s="195" t="s">
        <v>26</v>
      </c>
      <c r="L34" s="195" t="s">
        <v>431</v>
      </c>
      <c r="M34" s="121" t="s">
        <v>50</v>
      </c>
      <c r="N34" s="196">
        <v>30</v>
      </c>
      <c r="O34" s="200">
        <v>0</v>
      </c>
      <c r="P34" s="200">
        <v>0</v>
      </c>
      <c r="Q34" s="200">
        <v>0</v>
      </c>
      <c r="S34" s="44" t="s">
        <v>414</v>
      </c>
    </row>
    <row r="35" spans="1:19" x14ac:dyDescent="0.2">
      <c r="D35" s="188" t="s">
        <v>89</v>
      </c>
      <c r="E35" s="192">
        <f>SUM(E3:E6,E21,E23)</f>
        <v>0</v>
      </c>
      <c r="F35" s="186">
        <f>SUM(F3:F6,F21,F23)</f>
        <v>0</v>
      </c>
      <c r="G35" s="186">
        <f>SUM(G3:G6,G21,G23)</f>
        <v>0</v>
      </c>
      <c r="H35" s="186">
        <f>SUM(H3:H6,H21,H23)</f>
        <v>0</v>
      </c>
      <c r="M35" s="188" t="s">
        <v>89</v>
      </c>
      <c r="N35" s="192">
        <f>SUM(N3:N6,N21,N23)</f>
        <v>11406687.359999999</v>
      </c>
      <c r="O35" s="186">
        <f>SUM(O3:O6,O21,O23)</f>
        <v>855</v>
      </c>
      <c r="P35" s="186">
        <f>SUM(P3:P6,P21,P23)</f>
        <v>729</v>
      </c>
      <c r="Q35" s="186">
        <f>SUM(Q3:Q6,Q21,Q23)</f>
        <v>606</v>
      </c>
    </row>
    <row r="36" spans="1:19" x14ac:dyDescent="0.2">
      <c r="D36" s="45" t="s">
        <v>99</v>
      </c>
      <c r="E36" s="94">
        <f>E3+E4+E5+E6+E21+E23</f>
        <v>0</v>
      </c>
      <c r="F36" s="121">
        <f>F3+F4+F5+F6+F21+F23</f>
        <v>0</v>
      </c>
      <c r="G36" s="121">
        <f>G3+G4+G5+G6+G21+G23</f>
        <v>0</v>
      </c>
      <c r="H36" s="121">
        <f>H3+H4+H5+H6+H21+H23</f>
        <v>0</v>
      </c>
      <c r="M36" s="45" t="s">
        <v>99</v>
      </c>
      <c r="N36" s="94">
        <f>N3+N4+N5+N6+N21+N23</f>
        <v>11406687.359999999</v>
      </c>
      <c r="O36" s="121">
        <f>O3+O4+O5+O6+O21+O23</f>
        <v>855</v>
      </c>
      <c r="P36" s="121">
        <f>P3+P4+P5+P6+P21+P23</f>
        <v>729</v>
      </c>
      <c r="Q36" s="121">
        <f>Q3+Q4+Q5+Q6+Q21+Q23</f>
        <v>606</v>
      </c>
    </row>
    <row r="37" spans="1:19" x14ac:dyDescent="0.2">
      <c r="D37" s="188" t="s">
        <v>272</v>
      </c>
      <c r="E37" s="192">
        <f>SUM(E3:E6,E15,E21,E23)</f>
        <v>0</v>
      </c>
      <c r="F37" s="186">
        <f>SUM(F3:F6,F15,F21,F23)</f>
        <v>0</v>
      </c>
      <c r="G37" s="186">
        <f>SUM(G3:G6,G15,G21,G23)</f>
        <v>0</v>
      </c>
      <c r="H37" s="186">
        <f>SUM(H3:H6,H15,H21,H23)</f>
        <v>0</v>
      </c>
      <c r="M37" s="188" t="s">
        <v>272</v>
      </c>
      <c r="N37" s="192">
        <f>SUM(N3:N6,N15,N21,N23)</f>
        <v>11574687.359999999</v>
      </c>
      <c r="O37" s="186">
        <f>SUM(O3:O6,O15,O21,O23)</f>
        <v>876</v>
      </c>
      <c r="P37" s="186">
        <f>SUM(P3:P6,P15,P21,P23)</f>
        <v>741</v>
      </c>
      <c r="Q37" s="186">
        <f>SUM(Q3:Q6,Q15,Q21,Q23)</f>
        <v>618</v>
      </c>
    </row>
    <row r="38" spans="1:19" x14ac:dyDescent="0.2">
      <c r="D38" s="45" t="s">
        <v>99</v>
      </c>
      <c r="E38" s="94">
        <f>E3+E4+E5+E6+E15+E21+E23</f>
        <v>0</v>
      </c>
      <c r="F38" s="121">
        <f>F3+F4+F5+F6+F15+F21+F23</f>
        <v>0</v>
      </c>
      <c r="G38" s="121">
        <f>G3+G4+G5+G6+G15+G21+G23</f>
        <v>0</v>
      </c>
      <c r="H38" s="121">
        <f>H3+H4+H5+H6+H15+H21+H23</f>
        <v>0</v>
      </c>
      <c r="M38" s="45" t="s">
        <v>99</v>
      </c>
      <c r="N38" s="94">
        <f>N3+N4+N5+N6+N15+N21+N23</f>
        <v>11574687.359999999</v>
      </c>
      <c r="O38" s="121">
        <f>O3+O4+O5+O6+O15+O21+O23</f>
        <v>876</v>
      </c>
      <c r="P38" s="121">
        <f>P3+P4+P5+P6+P15+P21+P23</f>
        <v>741</v>
      </c>
      <c r="Q38" s="121">
        <f>Q3+Q4+Q5+Q6+Q15+Q21+Q23</f>
        <v>618</v>
      </c>
    </row>
    <row r="39" spans="1:19" x14ac:dyDescent="0.2">
      <c r="D39" s="44"/>
      <c r="F39" s="45"/>
      <c r="G39" s="192" t="e">
        <f>SUM(H32)/G32*100</f>
        <v>#DIV/0!</v>
      </c>
      <c r="H39" s="193" t="e">
        <f>SUM(E32)/H32</f>
        <v>#DIV/0!</v>
      </c>
      <c r="P39" s="192">
        <f>SUM(Q32)/P32*100</f>
        <v>83.556149732620327</v>
      </c>
      <c r="Q39" s="193">
        <f>SUM(N32)/Q32</f>
        <v>18830.704816000001</v>
      </c>
    </row>
    <row r="40" spans="1:19" x14ac:dyDescent="0.2">
      <c r="D40" s="44"/>
      <c r="E40" s="196">
        <f>SUM(E3:E21,E23,E25:E31)</f>
        <v>0</v>
      </c>
      <c r="F40" s="200">
        <f>SUM(F3:F21,F23,F25:F31)</f>
        <v>0</v>
      </c>
      <c r="G40" s="200">
        <f>SUM(G3:G21,G23,G25:G31)</f>
        <v>0</v>
      </c>
      <c r="H40" s="200">
        <f>SUM(H3:H21,H23,H25:H31)</f>
        <v>0</v>
      </c>
      <c r="N40" s="196">
        <f>SUM(N3:N21,N23,N25:N31)</f>
        <v>11769190.51</v>
      </c>
      <c r="O40" s="200">
        <f>SUM(O3:O21,O23,O25:O31)</f>
        <v>892</v>
      </c>
      <c r="P40" s="200">
        <f>SUM(P3:P21,P23,P25:P31)</f>
        <v>748</v>
      </c>
      <c r="Q40" s="200">
        <f>SUM(Q3:Q21,Q23,Q25:Q31)</f>
        <v>625</v>
      </c>
    </row>
    <row r="41" spans="1:19" x14ac:dyDescent="0.2">
      <c r="D41" s="44"/>
      <c r="E41" s="191">
        <f>SUM(E2:E31)</f>
        <v>0</v>
      </c>
      <c r="F41" s="121">
        <f>SUM(F2:F31)</f>
        <v>0</v>
      </c>
      <c r="G41" s="121">
        <f>SUM(G2:G31)</f>
        <v>0</v>
      </c>
      <c r="H41" s="121">
        <f>SUM(H2:H31)</f>
        <v>0</v>
      </c>
      <c r="N41" s="191">
        <f>SUM(N2:N31)</f>
        <v>23538381.02</v>
      </c>
      <c r="O41" s="121">
        <f>SUM(O2:O31)</f>
        <v>1784</v>
      </c>
      <c r="P41" s="121">
        <f>SUM(P2:P31)</f>
        <v>1496</v>
      </c>
      <c r="Q41" s="121">
        <f>SUM(Q2:Q31)</f>
        <v>1250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Arkusz37">
    <tabColor theme="0"/>
  </sheetPr>
  <dimension ref="A1:S41"/>
  <sheetViews>
    <sheetView zoomScale="80" zoomScaleNormal="80" workbookViewId="0">
      <selection activeCell="J2" sqref="J2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195" t="s">
        <v>22</v>
      </c>
      <c r="B1" s="195" t="s">
        <v>23</v>
      </c>
      <c r="C1" s="195" t="s">
        <v>24</v>
      </c>
      <c r="D1" s="121" t="s">
        <v>25</v>
      </c>
      <c r="E1" s="193" t="s">
        <v>387</v>
      </c>
      <c r="F1" s="191" t="s">
        <v>388</v>
      </c>
      <c r="G1" s="191" t="s">
        <v>389</v>
      </c>
      <c r="H1" s="191" t="s">
        <v>390</v>
      </c>
      <c r="J1" s="195" t="s">
        <v>22</v>
      </c>
      <c r="K1" s="195" t="s">
        <v>23</v>
      </c>
      <c r="L1" s="195" t="s">
        <v>24</v>
      </c>
      <c r="M1" s="121" t="s">
        <v>25</v>
      </c>
      <c r="N1" s="193" t="s">
        <v>387</v>
      </c>
      <c r="O1" s="191" t="s">
        <v>388</v>
      </c>
      <c r="P1" s="191" t="s">
        <v>389</v>
      </c>
      <c r="Q1" s="191" t="s">
        <v>390</v>
      </c>
    </row>
    <row r="2" spans="1:19" ht="15" customHeight="1" x14ac:dyDescent="0.2">
      <c r="A2" s="195"/>
      <c r="B2" s="195"/>
      <c r="C2" s="195"/>
      <c r="D2" s="121"/>
      <c r="E2" s="191"/>
      <c r="F2" s="121"/>
      <c r="G2" s="121"/>
      <c r="H2" s="121"/>
      <c r="J2" s="195" t="s">
        <v>479</v>
      </c>
      <c r="K2" s="195" t="s">
        <v>26</v>
      </c>
      <c r="L2" s="195" t="s">
        <v>430</v>
      </c>
      <c r="M2" s="121" t="s">
        <v>27</v>
      </c>
      <c r="N2" s="196">
        <v>11667536.98</v>
      </c>
      <c r="O2" s="200">
        <v>881</v>
      </c>
      <c r="P2" s="200">
        <v>734</v>
      </c>
      <c r="Q2" s="200">
        <v>559</v>
      </c>
      <c r="S2" s="44" t="s">
        <v>395</v>
      </c>
    </row>
    <row r="3" spans="1:19" x14ac:dyDescent="0.2">
      <c r="A3" s="195"/>
      <c r="B3" s="195"/>
      <c r="C3" s="195"/>
      <c r="D3" s="121"/>
      <c r="E3" s="191"/>
      <c r="F3" s="121"/>
      <c r="G3" s="121"/>
      <c r="H3" s="121"/>
      <c r="I3" s="186">
        <v>1</v>
      </c>
      <c r="J3" s="195" t="s">
        <v>479</v>
      </c>
      <c r="K3" s="195" t="s">
        <v>26</v>
      </c>
      <c r="L3" s="195" t="s">
        <v>430</v>
      </c>
      <c r="M3" s="121" t="s">
        <v>28</v>
      </c>
      <c r="N3" s="197">
        <v>3098326.78</v>
      </c>
      <c r="O3" s="198">
        <v>296</v>
      </c>
      <c r="P3" s="198">
        <v>201</v>
      </c>
      <c r="Q3" s="198">
        <v>135</v>
      </c>
      <c r="R3" s="186">
        <v>1</v>
      </c>
      <c r="S3" s="187" t="s">
        <v>396</v>
      </c>
    </row>
    <row r="4" spans="1:19" x14ac:dyDescent="0.2">
      <c r="A4" s="195"/>
      <c r="B4" s="195"/>
      <c r="C4" s="195"/>
      <c r="D4" s="121"/>
      <c r="E4" s="191"/>
      <c r="F4" s="121"/>
      <c r="G4" s="121"/>
      <c r="H4" s="121"/>
      <c r="I4" s="186">
        <v>2</v>
      </c>
      <c r="J4" s="195" t="s">
        <v>479</v>
      </c>
      <c r="K4" s="195" t="s">
        <v>26</v>
      </c>
      <c r="L4" s="195" t="s">
        <v>430</v>
      </c>
      <c r="M4" s="121" t="s">
        <v>29</v>
      </c>
      <c r="N4" s="197">
        <v>501923.07</v>
      </c>
      <c r="O4" s="198">
        <v>65</v>
      </c>
      <c r="P4" s="198">
        <v>60</v>
      </c>
      <c r="Q4" s="198">
        <v>24</v>
      </c>
      <c r="R4" s="186">
        <v>2</v>
      </c>
      <c r="S4" s="187" t="s">
        <v>397</v>
      </c>
    </row>
    <row r="5" spans="1:19" x14ac:dyDescent="0.2">
      <c r="A5" s="195"/>
      <c r="B5" s="195"/>
      <c r="C5" s="195"/>
      <c r="D5" s="121"/>
      <c r="E5" s="191"/>
      <c r="F5" s="121"/>
      <c r="G5" s="121"/>
      <c r="H5" s="121"/>
      <c r="I5" s="186">
        <v>3</v>
      </c>
      <c r="J5" s="195" t="s">
        <v>479</v>
      </c>
      <c r="K5" s="195" t="s">
        <v>26</v>
      </c>
      <c r="L5" s="195" t="s">
        <v>430</v>
      </c>
      <c r="M5" s="121" t="s">
        <v>30</v>
      </c>
      <c r="N5" s="197">
        <v>2557889.2599999998</v>
      </c>
      <c r="O5" s="198">
        <v>315</v>
      </c>
      <c r="P5" s="198">
        <v>257</v>
      </c>
      <c r="Q5" s="198">
        <v>226</v>
      </c>
      <c r="R5" s="186">
        <v>3</v>
      </c>
      <c r="S5" s="187" t="s">
        <v>399</v>
      </c>
    </row>
    <row r="6" spans="1:19" x14ac:dyDescent="0.2">
      <c r="A6" s="195"/>
      <c r="B6" s="195"/>
      <c r="C6" s="195"/>
      <c r="D6" s="121"/>
      <c r="E6" s="191"/>
      <c r="F6" s="121"/>
      <c r="G6" s="121"/>
      <c r="H6" s="121"/>
      <c r="I6" s="186">
        <v>4</v>
      </c>
      <c r="J6" s="195" t="s">
        <v>479</v>
      </c>
      <c r="K6" s="195" t="s">
        <v>26</v>
      </c>
      <c r="L6" s="195" t="s">
        <v>430</v>
      </c>
      <c r="M6" s="121" t="s">
        <v>31</v>
      </c>
      <c r="N6" s="197">
        <v>411522.66</v>
      </c>
      <c r="O6" s="198">
        <v>26</v>
      </c>
      <c r="P6" s="198">
        <v>26</v>
      </c>
      <c r="Q6" s="198">
        <v>18</v>
      </c>
      <c r="R6" s="186">
        <v>4</v>
      </c>
      <c r="S6" s="187" t="s">
        <v>398</v>
      </c>
    </row>
    <row r="7" spans="1:19" x14ac:dyDescent="0.2">
      <c r="A7" s="195"/>
      <c r="B7" s="195"/>
      <c r="C7" s="195"/>
      <c r="D7" s="121"/>
      <c r="E7" s="191"/>
      <c r="F7" s="121"/>
      <c r="G7" s="121"/>
      <c r="H7" s="121"/>
      <c r="I7" s="189" t="s">
        <v>417</v>
      </c>
      <c r="J7" s="195" t="s">
        <v>479</v>
      </c>
      <c r="K7" s="195" t="s">
        <v>26</v>
      </c>
      <c r="L7" s="195" t="s">
        <v>430</v>
      </c>
      <c r="M7" s="121" t="s">
        <v>32</v>
      </c>
      <c r="N7" s="199">
        <v>57095.16</v>
      </c>
      <c r="O7" s="198">
        <v>26</v>
      </c>
      <c r="P7" s="198">
        <v>23</v>
      </c>
      <c r="Q7" s="198">
        <v>1</v>
      </c>
      <c r="R7" s="189" t="s">
        <v>417</v>
      </c>
      <c r="S7" s="187" t="s">
        <v>400</v>
      </c>
    </row>
    <row r="8" spans="1:19" x14ac:dyDescent="0.2">
      <c r="A8" s="195"/>
      <c r="B8" s="195"/>
      <c r="C8" s="195"/>
      <c r="D8" s="121"/>
      <c r="E8" s="191"/>
      <c r="F8" s="121"/>
      <c r="G8" s="121"/>
      <c r="H8" s="121"/>
      <c r="I8" s="121"/>
      <c r="J8" s="195" t="s">
        <v>479</v>
      </c>
      <c r="K8" s="195" t="s">
        <v>26</v>
      </c>
      <c r="L8" s="195" t="s">
        <v>430</v>
      </c>
      <c r="M8" s="121" t="s">
        <v>33</v>
      </c>
      <c r="N8" s="196">
        <v>0</v>
      </c>
      <c r="O8" s="200">
        <v>0</v>
      </c>
      <c r="P8" s="200">
        <v>0</v>
      </c>
      <c r="Q8" s="200">
        <v>0</v>
      </c>
      <c r="R8" s="121"/>
      <c r="S8" s="44" t="s">
        <v>401</v>
      </c>
    </row>
    <row r="9" spans="1:19" x14ac:dyDescent="0.2">
      <c r="A9" s="195"/>
      <c r="B9" s="195"/>
      <c r="C9" s="195"/>
      <c r="D9" s="121"/>
      <c r="E9" s="191"/>
      <c r="F9" s="121"/>
      <c r="G9" s="121"/>
      <c r="H9" s="121"/>
      <c r="I9" s="121"/>
      <c r="J9" s="195" t="s">
        <v>479</v>
      </c>
      <c r="K9" s="195" t="s">
        <v>26</v>
      </c>
      <c r="L9" s="195" t="s">
        <v>430</v>
      </c>
      <c r="M9" s="121" t="s">
        <v>34</v>
      </c>
      <c r="N9" s="196">
        <v>0</v>
      </c>
      <c r="O9" s="200">
        <v>0</v>
      </c>
      <c r="P9" s="200">
        <v>0</v>
      </c>
      <c r="Q9" s="200">
        <v>0</v>
      </c>
      <c r="R9" s="121"/>
      <c r="S9" s="44" t="s">
        <v>6</v>
      </c>
    </row>
    <row r="10" spans="1:19" ht="15" customHeight="1" x14ac:dyDescent="0.2">
      <c r="A10" s="195"/>
      <c r="B10" s="195"/>
      <c r="C10" s="195"/>
      <c r="D10" s="121"/>
      <c r="E10" s="191"/>
      <c r="F10" s="121"/>
      <c r="G10" s="121"/>
      <c r="H10" s="121"/>
      <c r="I10" s="121"/>
      <c r="J10" s="195" t="s">
        <v>479</v>
      </c>
      <c r="K10" s="195" t="s">
        <v>26</v>
      </c>
      <c r="L10" s="195" t="s">
        <v>430</v>
      </c>
      <c r="M10" s="121" t="s">
        <v>35</v>
      </c>
      <c r="N10" s="196">
        <v>0</v>
      </c>
      <c r="O10" s="200">
        <v>0</v>
      </c>
      <c r="P10" s="200">
        <v>0</v>
      </c>
      <c r="Q10" s="200">
        <v>0</v>
      </c>
      <c r="R10" s="121"/>
      <c r="S10" s="44" t="s">
        <v>402</v>
      </c>
    </row>
    <row r="11" spans="1:19" ht="15" customHeight="1" x14ac:dyDescent="0.2">
      <c r="A11" s="195"/>
      <c r="B11" s="195"/>
      <c r="C11" s="195"/>
      <c r="D11" s="121"/>
      <c r="E11" s="191"/>
      <c r="F11" s="121"/>
      <c r="G11" s="121"/>
      <c r="H11" s="121"/>
      <c r="I11" s="121"/>
      <c r="J11" s="195" t="s">
        <v>479</v>
      </c>
      <c r="K11" s="195" t="s">
        <v>26</v>
      </c>
      <c r="L11" s="195" t="s">
        <v>430</v>
      </c>
      <c r="M11" s="121" t="s">
        <v>36</v>
      </c>
      <c r="N11" s="196">
        <v>0</v>
      </c>
      <c r="O11" s="200">
        <v>0</v>
      </c>
      <c r="P11" s="200">
        <v>0</v>
      </c>
      <c r="Q11" s="200">
        <v>0</v>
      </c>
      <c r="R11" s="121"/>
      <c r="S11" s="44" t="s">
        <v>8</v>
      </c>
    </row>
    <row r="12" spans="1:19" x14ac:dyDescent="0.2">
      <c r="A12" s="195"/>
      <c r="B12" s="195"/>
      <c r="C12" s="195"/>
      <c r="D12" s="121"/>
      <c r="E12" s="191"/>
      <c r="F12" s="121"/>
      <c r="G12" s="121"/>
      <c r="H12" s="121"/>
      <c r="I12" s="121"/>
      <c r="J12" s="195" t="s">
        <v>479</v>
      </c>
      <c r="K12" s="195" t="s">
        <v>26</v>
      </c>
      <c r="L12" s="195" t="s">
        <v>430</v>
      </c>
      <c r="M12" s="121" t="s">
        <v>37</v>
      </c>
      <c r="N12" s="196">
        <v>0</v>
      </c>
      <c r="O12" s="200">
        <v>0</v>
      </c>
      <c r="P12" s="200">
        <v>0</v>
      </c>
      <c r="Q12" s="200">
        <v>0</v>
      </c>
      <c r="R12" s="121"/>
      <c r="S12" s="44" t="s">
        <v>403</v>
      </c>
    </row>
    <row r="13" spans="1:19" x14ac:dyDescent="0.2">
      <c r="A13" s="195"/>
      <c r="B13" s="195"/>
      <c r="C13" s="195"/>
      <c r="D13" s="121"/>
      <c r="E13" s="191"/>
      <c r="F13" s="121"/>
      <c r="G13" s="121"/>
      <c r="H13" s="121"/>
      <c r="I13" s="189" t="s">
        <v>419</v>
      </c>
      <c r="J13" s="195" t="s">
        <v>479</v>
      </c>
      <c r="K13" s="195" t="s">
        <v>26</v>
      </c>
      <c r="L13" s="195" t="s">
        <v>430</v>
      </c>
      <c r="M13" s="121" t="s">
        <v>26</v>
      </c>
      <c r="N13" s="199">
        <v>32931.72</v>
      </c>
      <c r="O13" s="198">
        <v>10</v>
      </c>
      <c r="P13" s="198">
        <v>8</v>
      </c>
      <c r="Q13" s="198">
        <v>7</v>
      </c>
      <c r="R13" s="189" t="s">
        <v>419</v>
      </c>
      <c r="S13" s="187" t="s">
        <v>9</v>
      </c>
    </row>
    <row r="14" spans="1:19" ht="15" customHeight="1" x14ac:dyDescent="0.2">
      <c r="A14" s="195"/>
      <c r="B14" s="195"/>
      <c r="C14" s="195"/>
      <c r="D14" s="121"/>
      <c r="E14" s="191"/>
      <c r="F14" s="121"/>
      <c r="G14" s="121"/>
      <c r="H14" s="121"/>
      <c r="I14" s="121"/>
      <c r="J14" s="195" t="s">
        <v>479</v>
      </c>
      <c r="K14" s="195" t="s">
        <v>26</v>
      </c>
      <c r="L14" s="195" t="s">
        <v>430</v>
      </c>
      <c r="M14" s="121" t="s">
        <v>38</v>
      </c>
      <c r="N14" s="196">
        <v>0</v>
      </c>
      <c r="O14" s="200">
        <v>0</v>
      </c>
      <c r="P14" s="200">
        <v>0</v>
      </c>
      <c r="Q14" s="200">
        <v>0</v>
      </c>
      <c r="R14" s="121"/>
      <c r="S14" s="44" t="s">
        <v>404</v>
      </c>
    </row>
    <row r="15" spans="1:19" ht="15" customHeight="1" x14ac:dyDescent="0.2">
      <c r="A15" s="195"/>
      <c r="B15" s="195"/>
      <c r="C15" s="195"/>
      <c r="D15" s="121"/>
      <c r="E15" s="191"/>
      <c r="F15" s="121"/>
      <c r="G15" s="121"/>
      <c r="H15" s="121"/>
      <c r="I15" s="189" t="s">
        <v>51</v>
      </c>
      <c r="J15" s="195" t="s">
        <v>479</v>
      </c>
      <c r="K15" s="195" t="s">
        <v>26</v>
      </c>
      <c r="L15" s="195" t="s">
        <v>430</v>
      </c>
      <c r="M15" s="121" t="s">
        <v>39</v>
      </c>
      <c r="N15" s="199">
        <v>120000</v>
      </c>
      <c r="O15" s="198">
        <v>12</v>
      </c>
      <c r="P15" s="198">
        <v>24</v>
      </c>
      <c r="Q15" s="198">
        <v>22</v>
      </c>
      <c r="R15" s="189" t="s">
        <v>51</v>
      </c>
      <c r="S15" s="187" t="s">
        <v>11</v>
      </c>
    </row>
    <row r="16" spans="1:19" x14ac:dyDescent="0.2">
      <c r="A16" s="195"/>
      <c r="B16" s="195"/>
      <c r="C16" s="195"/>
      <c r="D16" s="121"/>
      <c r="E16" s="191"/>
      <c r="F16" s="121"/>
      <c r="G16" s="121"/>
      <c r="H16" s="121"/>
      <c r="I16" s="189" t="s">
        <v>418</v>
      </c>
      <c r="J16" s="195" t="s">
        <v>479</v>
      </c>
      <c r="K16" s="195" t="s">
        <v>26</v>
      </c>
      <c r="L16" s="195" t="s">
        <v>430</v>
      </c>
      <c r="M16" s="121" t="s">
        <v>40</v>
      </c>
      <c r="N16" s="199">
        <v>243881.87</v>
      </c>
      <c r="O16" s="198">
        <v>17</v>
      </c>
      <c r="P16" s="198">
        <v>14</v>
      </c>
      <c r="Q16" s="198">
        <v>13</v>
      </c>
      <c r="R16" s="189" t="s">
        <v>418</v>
      </c>
      <c r="S16" s="187" t="s">
        <v>405</v>
      </c>
    </row>
    <row r="17" spans="1:19" x14ac:dyDescent="0.2">
      <c r="A17" s="195"/>
      <c r="B17" s="195"/>
      <c r="C17" s="195"/>
      <c r="D17" s="121"/>
      <c r="E17" s="191"/>
      <c r="F17" s="121"/>
      <c r="G17" s="121"/>
      <c r="H17" s="121"/>
      <c r="I17" s="121"/>
      <c r="J17" s="195" t="s">
        <v>479</v>
      </c>
      <c r="K17" s="195" t="s">
        <v>26</v>
      </c>
      <c r="L17" s="195" t="s">
        <v>430</v>
      </c>
      <c r="M17" s="121" t="s">
        <v>41</v>
      </c>
      <c r="N17" s="196">
        <v>0</v>
      </c>
      <c r="O17" s="200">
        <v>0</v>
      </c>
      <c r="P17" s="200">
        <v>0</v>
      </c>
      <c r="Q17" s="200">
        <v>0</v>
      </c>
      <c r="R17" s="121"/>
      <c r="S17" s="44" t="s">
        <v>406</v>
      </c>
    </row>
    <row r="18" spans="1:19" ht="15" customHeight="1" x14ac:dyDescent="0.2">
      <c r="A18" s="195"/>
      <c r="B18" s="195"/>
      <c r="C18" s="195"/>
      <c r="D18" s="121"/>
      <c r="E18" s="191"/>
      <c r="F18" s="121"/>
      <c r="G18" s="121"/>
      <c r="H18" s="121"/>
      <c r="I18" s="189" t="s">
        <v>420</v>
      </c>
      <c r="J18" s="195" t="s">
        <v>479</v>
      </c>
      <c r="K18" s="195" t="s">
        <v>26</v>
      </c>
      <c r="L18" s="195" t="s">
        <v>430</v>
      </c>
      <c r="M18" s="121" t="s">
        <v>42</v>
      </c>
      <c r="N18" s="199">
        <v>4428.96</v>
      </c>
      <c r="O18" s="198">
        <v>1</v>
      </c>
      <c r="P18" s="198">
        <v>1</v>
      </c>
      <c r="Q18" s="198">
        <v>0</v>
      </c>
      <c r="R18" s="189" t="s">
        <v>420</v>
      </c>
      <c r="S18" s="187" t="s">
        <v>376</v>
      </c>
    </row>
    <row r="19" spans="1:19" ht="15" customHeight="1" x14ac:dyDescent="0.2">
      <c r="A19" s="195"/>
      <c r="B19" s="195"/>
      <c r="C19" s="195"/>
      <c r="D19" s="121"/>
      <c r="E19" s="191"/>
      <c r="F19" s="121"/>
      <c r="G19" s="121"/>
      <c r="H19" s="121"/>
      <c r="I19" s="189" t="s">
        <v>416</v>
      </c>
      <c r="J19" s="195" t="s">
        <v>479</v>
      </c>
      <c r="K19" s="195" t="s">
        <v>26</v>
      </c>
      <c r="L19" s="195" t="s">
        <v>430</v>
      </c>
      <c r="M19" s="121" t="s">
        <v>43</v>
      </c>
      <c r="N19" s="199">
        <v>0</v>
      </c>
      <c r="O19" s="198">
        <v>0</v>
      </c>
      <c r="P19" s="198">
        <v>0</v>
      </c>
      <c r="Q19" s="198">
        <v>0</v>
      </c>
      <c r="R19" s="189" t="s">
        <v>416</v>
      </c>
      <c r="S19" s="187" t="s">
        <v>377</v>
      </c>
    </row>
    <row r="20" spans="1:19" x14ac:dyDescent="0.2">
      <c r="A20" s="195"/>
      <c r="B20" s="195"/>
      <c r="C20" s="195"/>
      <c r="D20" s="121"/>
      <c r="E20" s="191"/>
      <c r="F20" s="121"/>
      <c r="G20" s="121"/>
      <c r="H20" s="121"/>
      <c r="I20" s="121"/>
      <c r="J20" s="195" t="s">
        <v>479</v>
      </c>
      <c r="K20" s="195" t="s">
        <v>26</v>
      </c>
      <c r="L20" s="195" t="s">
        <v>430</v>
      </c>
      <c r="M20" s="121" t="s">
        <v>44</v>
      </c>
      <c r="N20" s="196">
        <v>0</v>
      </c>
      <c r="O20" s="200">
        <v>0</v>
      </c>
      <c r="P20" s="200">
        <v>0</v>
      </c>
      <c r="Q20" s="200">
        <v>0</v>
      </c>
      <c r="R20" s="121"/>
      <c r="S20" s="44" t="s">
        <v>15</v>
      </c>
    </row>
    <row r="21" spans="1:19" x14ac:dyDescent="0.2">
      <c r="A21" s="195"/>
      <c r="B21" s="195"/>
      <c r="C21" s="195"/>
      <c r="D21" s="121"/>
      <c r="E21" s="191"/>
      <c r="F21" s="121"/>
      <c r="G21" s="121"/>
      <c r="H21" s="121"/>
      <c r="I21" s="186">
        <v>6</v>
      </c>
      <c r="J21" s="195" t="s">
        <v>479</v>
      </c>
      <c r="K21" s="195" t="s">
        <v>26</v>
      </c>
      <c r="L21" s="195" t="s">
        <v>430</v>
      </c>
      <c r="M21" s="121" t="s">
        <v>45</v>
      </c>
      <c r="N21" s="197">
        <v>3464637.5</v>
      </c>
      <c r="O21" s="198">
        <v>85</v>
      </c>
      <c r="P21" s="198">
        <v>57</v>
      </c>
      <c r="Q21" s="198">
        <v>57</v>
      </c>
      <c r="R21" s="186">
        <v>6</v>
      </c>
      <c r="S21" s="187" t="s">
        <v>16</v>
      </c>
    </row>
    <row r="22" spans="1:19" x14ac:dyDescent="0.2">
      <c r="A22" s="195"/>
      <c r="B22" s="195"/>
      <c r="C22" s="195"/>
      <c r="D22" s="121"/>
      <c r="E22" s="191"/>
      <c r="F22" s="121"/>
      <c r="G22" s="121"/>
      <c r="H22" s="121"/>
      <c r="I22" s="121"/>
      <c r="J22" s="195" t="s">
        <v>479</v>
      </c>
      <c r="K22" s="195" t="s">
        <v>26</v>
      </c>
      <c r="L22" s="195" t="s">
        <v>430</v>
      </c>
      <c r="M22" s="121" t="s">
        <v>46</v>
      </c>
      <c r="N22" s="196">
        <v>0</v>
      </c>
      <c r="O22" s="200">
        <v>0</v>
      </c>
      <c r="P22" s="200">
        <v>0</v>
      </c>
      <c r="Q22" s="200">
        <v>0</v>
      </c>
      <c r="R22" s="121"/>
      <c r="S22" s="44" t="s">
        <v>407</v>
      </c>
    </row>
    <row r="23" spans="1:19" ht="15" customHeight="1" x14ac:dyDescent="0.2">
      <c r="A23" s="195"/>
      <c r="B23" s="195"/>
      <c r="C23" s="195"/>
      <c r="D23" s="121"/>
      <c r="E23" s="191"/>
      <c r="F23" s="121"/>
      <c r="G23" s="121"/>
      <c r="H23" s="121"/>
      <c r="I23" s="186">
        <v>5</v>
      </c>
      <c r="J23" s="195" t="s">
        <v>479</v>
      </c>
      <c r="K23" s="195" t="s">
        <v>26</v>
      </c>
      <c r="L23" s="195" t="s">
        <v>430</v>
      </c>
      <c r="M23" s="121" t="s">
        <v>47</v>
      </c>
      <c r="N23" s="197">
        <v>1174900</v>
      </c>
      <c r="O23" s="198">
        <v>28</v>
      </c>
      <c r="P23" s="198">
        <v>63</v>
      </c>
      <c r="Q23" s="198">
        <v>56</v>
      </c>
      <c r="R23" s="186">
        <v>5</v>
      </c>
      <c r="S23" s="187" t="s">
        <v>17</v>
      </c>
    </row>
    <row r="24" spans="1:19" ht="15" customHeight="1" x14ac:dyDescent="0.2">
      <c r="A24" s="195"/>
      <c r="B24" s="195"/>
      <c r="C24" s="195"/>
      <c r="D24" s="121"/>
      <c r="E24" s="191"/>
      <c r="F24" s="121"/>
      <c r="G24" s="121"/>
      <c r="H24" s="121"/>
      <c r="I24" s="45"/>
      <c r="J24" s="195" t="s">
        <v>479</v>
      </c>
      <c r="K24" s="195" t="s">
        <v>26</v>
      </c>
      <c r="L24" s="195" t="s">
        <v>430</v>
      </c>
      <c r="M24" s="121" t="s">
        <v>48</v>
      </c>
      <c r="N24" s="196">
        <v>0</v>
      </c>
      <c r="O24" s="200">
        <v>0</v>
      </c>
      <c r="P24" s="200">
        <v>0</v>
      </c>
      <c r="Q24" s="200">
        <v>0</v>
      </c>
      <c r="S24" s="44" t="s">
        <v>407</v>
      </c>
    </row>
    <row r="25" spans="1:19" ht="15" customHeight="1" x14ac:dyDescent="0.2">
      <c r="A25" s="195"/>
      <c r="B25" s="195"/>
      <c r="C25" s="195"/>
      <c r="D25" s="121"/>
      <c r="E25" s="191"/>
      <c r="F25" s="121"/>
      <c r="G25" s="121"/>
      <c r="H25" s="121"/>
      <c r="I25" s="45"/>
      <c r="J25" s="195" t="s">
        <v>479</v>
      </c>
      <c r="K25" s="195" t="s">
        <v>26</v>
      </c>
      <c r="L25" s="195" t="s">
        <v>430</v>
      </c>
      <c r="M25" s="121" t="s">
        <v>319</v>
      </c>
      <c r="N25" s="196">
        <v>0</v>
      </c>
      <c r="O25" s="200">
        <v>0</v>
      </c>
      <c r="P25" s="200">
        <v>0</v>
      </c>
      <c r="Q25" s="200">
        <v>0</v>
      </c>
      <c r="S25" s="44" t="s">
        <v>18</v>
      </c>
    </row>
    <row r="26" spans="1:19" ht="15" customHeight="1" x14ac:dyDescent="0.2">
      <c r="A26" s="195"/>
      <c r="B26" s="195"/>
      <c r="C26" s="195"/>
      <c r="D26" s="121"/>
      <c r="E26" s="191"/>
      <c r="F26" s="121"/>
      <c r="G26" s="121"/>
      <c r="H26" s="121"/>
      <c r="I26" s="190" t="s">
        <v>421</v>
      </c>
      <c r="J26" s="195" t="s">
        <v>479</v>
      </c>
      <c r="K26" s="195" t="s">
        <v>26</v>
      </c>
      <c r="L26" s="195" t="s">
        <v>430</v>
      </c>
      <c r="M26" s="121" t="s">
        <v>320</v>
      </c>
      <c r="N26" s="199">
        <v>0</v>
      </c>
      <c r="O26" s="198">
        <v>0</v>
      </c>
      <c r="P26" s="198">
        <v>0</v>
      </c>
      <c r="Q26" s="198">
        <v>0</v>
      </c>
      <c r="R26" s="190" t="s">
        <v>421</v>
      </c>
      <c r="S26" s="187" t="s">
        <v>358</v>
      </c>
    </row>
    <row r="27" spans="1:19" x14ac:dyDescent="0.2">
      <c r="A27" s="195"/>
      <c r="B27" s="195"/>
      <c r="C27" s="195"/>
      <c r="D27" s="121"/>
      <c r="E27" s="191"/>
      <c r="F27" s="121"/>
      <c r="G27" s="121"/>
      <c r="H27" s="121"/>
      <c r="I27" s="190" t="s">
        <v>415</v>
      </c>
      <c r="J27" s="195" t="s">
        <v>479</v>
      </c>
      <c r="K27" s="195" t="s">
        <v>26</v>
      </c>
      <c r="L27" s="195" t="s">
        <v>430</v>
      </c>
      <c r="M27" s="121" t="s">
        <v>321</v>
      </c>
      <c r="N27" s="199">
        <v>0</v>
      </c>
      <c r="O27" s="198">
        <v>0</v>
      </c>
      <c r="P27" s="198">
        <v>0</v>
      </c>
      <c r="Q27" s="198">
        <v>0</v>
      </c>
      <c r="R27" s="190" t="s">
        <v>415</v>
      </c>
      <c r="S27" s="187" t="s">
        <v>408</v>
      </c>
    </row>
    <row r="28" spans="1:19" x14ac:dyDescent="0.2">
      <c r="A28" s="195"/>
      <c r="B28" s="195"/>
      <c r="C28" s="195"/>
      <c r="D28" s="121"/>
      <c r="E28" s="191"/>
      <c r="F28" s="121"/>
      <c r="G28" s="121"/>
      <c r="H28" s="121"/>
      <c r="J28" s="195" t="s">
        <v>479</v>
      </c>
      <c r="K28" s="195" t="s">
        <v>26</v>
      </c>
      <c r="L28" s="195" t="s">
        <v>430</v>
      </c>
      <c r="M28" s="121" t="s">
        <v>322</v>
      </c>
      <c r="N28" s="196">
        <v>0</v>
      </c>
      <c r="O28" s="200">
        <v>0</v>
      </c>
      <c r="P28" s="200">
        <v>0</v>
      </c>
      <c r="Q28" s="200">
        <v>0</v>
      </c>
      <c r="S28" s="44" t="s">
        <v>215</v>
      </c>
    </row>
    <row r="29" spans="1:19" x14ac:dyDescent="0.2">
      <c r="A29" s="195"/>
      <c r="B29" s="195"/>
      <c r="C29" s="195"/>
      <c r="D29" s="121"/>
      <c r="E29" s="191"/>
      <c r="F29" s="121"/>
      <c r="G29" s="121"/>
      <c r="H29" s="121"/>
      <c r="J29" s="195" t="s">
        <v>479</v>
      </c>
      <c r="K29" s="195" t="s">
        <v>26</v>
      </c>
      <c r="L29" s="195" t="s">
        <v>430</v>
      </c>
      <c r="M29" s="121" t="s">
        <v>391</v>
      </c>
      <c r="N29" s="196">
        <v>0</v>
      </c>
      <c r="O29" s="200">
        <v>0</v>
      </c>
      <c r="P29" s="200">
        <v>0</v>
      </c>
      <c r="Q29" s="200">
        <v>0</v>
      </c>
      <c r="S29" s="44" t="s">
        <v>409</v>
      </c>
    </row>
    <row r="30" spans="1:19" ht="15" customHeight="1" x14ac:dyDescent="0.2">
      <c r="A30" s="195"/>
      <c r="B30" s="195"/>
      <c r="C30" s="195"/>
      <c r="D30" s="121"/>
      <c r="E30" s="191"/>
      <c r="F30" s="121"/>
      <c r="G30" s="121"/>
      <c r="H30" s="121"/>
      <c r="J30" s="195" t="s">
        <v>479</v>
      </c>
      <c r="K30" s="195" t="s">
        <v>26</v>
      </c>
      <c r="L30" s="195" t="s">
        <v>430</v>
      </c>
      <c r="M30" s="121" t="s">
        <v>392</v>
      </c>
      <c r="N30" s="196">
        <v>0</v>
      </c>
      <c r="O30" s="200">
        <v>0</v>
      </c>
      <c r="P30" s="200">
        <v>0</v>
      </c>
      <c r="Q30" s="200">
        <v>0</v>
      </c>
      <c r="S30" s="44" t="s">
        <v>410</v>
      </c>
    </row>
    <row r="31" spans="1:19" x14ac:dyDescent="0.2">
      <c r="A31" s="195"/>
      <c r="B31" s="195"/>
      <c r="C31" s="195"/>
      <c r="D31" s="121"/>
      <c r="E31" s="191"/>
      <c r="F31" s="121"/>
      <c r="G31" s="121"/>
      <c r="H31" s="121"/>
      <c r="J31" s="195" t="s">
        <v>479</v>
      </c>
      <c r="K31" s="195" t="s">
        <v>26</v>
      </c>
      <c r="L31" s="195" t="s">
        <v>430</v>
      </c>
      <c r="M31" s="121" t="s">
        <v>393</v>
      </c>
      <c r="N31" s="196">
        <v>0</v>
      </c>
      <c r="O31" s="200">
        <v>0</v>
      </c>
      <c r="P31" s="200">
        <v>0</v>
      </c>
      <c r="Q31" s="200">
        <v>0</v>
      </c>
      <c r="S31" s="44" t="s">
        <v>411</v>
      </c>
    </row>
    <row r="32" spans="1:19" x14ac:dyDescent="0.2">
      <c r="A32" s="195"/>
      <c r="B32" s="195"/>
      <c r="C32" s="195"/>
      <c r="D32" s="201"/>
      <c r="E32" s="202"/>
      <c r="F32" s="201"/>
      <c r="G32" s="201"/>
      <c r="H32" s="201"/>
      <c r="J32" s="195" t="s">
        <v>479</v>
      </c>
      <c r="K32" s="195" t="s">
        <v>26</v>
      </c>
      <c r="L32" s="195" t="s">
        <v>430</v>
      </c>
      <c r="M32" s="201" t="s">
        <v>394</v>
      </c>
      <c r="N32" s="203">
        <v>23335073.960000001</v>
      </c>
      <c r="O32" s="204">
        <v>1762</v>
      </c>
      <c r="P32" s="204">
        <v>1468</v>
      </c>
      <c r="Q32" s="204">
        <v>1118</v>
      </c>
      <c r="S32" s="185" t="s">
        <v>412</v>
      </c>
    </row>
    <row r="33" spans="1:19" x14ac:dyDescent="0.2">
      <c r="A33" s="195"/>
      <c r="B33" s="195"/>
      <c r="C33" s="195"/>
      <c r="D33" s="121"/>
      <c r="E33" s="191"/>
      <c r="F33" s="121"/>
      <c r="G33" s="121"/>
      <c r="H33" s="121"/>
      <c r="J33" s="195" t="s">
        <v>479</v>
      </c>
      <c r="K33" s="195" t="s">
        <v>26</v>
      </c>
      <c r="L33" s="195" t="s">
        <v>430</v>
      </c>
      <c r="M33" s="121" t="s">
        <v>49</v>
      </c>
      <c r="N33" s="196">
        <v>990</v>
      </c>
      <c r="O33" s="200">
        <v>0</v>
      </c>
      <c r="P33" s="200">
        <v>0</v>
      </c>
      <c r="Q33" s="200">
        <v>0</v>
      </c>
      <c r="S33" s="44" t="s">
        <v>413</v>
      </c>
    </row>
    <row r="34" spans="1:19" x14ac:dyDescent="0.2">
      <c r="A34" s="195"/>
      <c r="B34" s="195"/>
      <c r="C34" s="195"/>
      <c r="D34" s="121"/>
      <c r="E34" s="191"/>
      <c r="F34" s="121"/>
      <c r="G34" s="121"/>
      <c r="H34" s="121"/>
      <c r="J34" s="195" t="s">
        <v>479</v>
      </c>
      <c r="K34" s="195" t="s">
        <v>26</v>
      </c>
      <c r="L34" s="195" t="s">
        <v>430</v>
      </c>
      <c r="M34" s="121" t="s">
        <v>50</v>
      </c>
      <c r="N34" s="196">
        <v>30</v>
      </c>
      <c r="O34" s="200">
        <v>0</v>
      </c>
      <c r="P34" s="200">
        <v>0</v>
      </c>
      <c r="Q34" s="200">
        <v>0</v>
      </c>
      <c r="S34" s="44" t="s">
        <v>414</v>
      </c>
    </row>
    <row r="35" spans="1:19" x14ac:dyDescent="0.2">
      <c r="D35" s="188" t="s">
        <v>89</v>
      </c>
      <c r="E35" s="192">
        <f>SUM(E3:E6,E21,E23)</f>
        <v>0</v>
      </c>
      <c r="F35" s="186">
        <f>SUM(F3:F6,F21,F23)</f>
        <v>0</v>
      </c>
      <c r="G35" s="186">
        <f>SUM(G3:G6,G21,G23)</f>
        <v>0</v>
      </c>
      <c r="H35" s="186">
        <f>SUM(H3:H6,H21,H23)</f>
        <v>0</v>
      </c>
      <c r="M35" s="188" t="s">
        <v>89</v>
      </c>
      <c r="N35" s="192">
        <f>SUM(N3:N6,N21,N23)</f>
        <v>11209199.27</v>
      </c>
      <c r="O35" s="186">
        <f>SUM(O3:O6,O21,O23)</f>
        <v>815</v>
      </c>
      <c r="P35" s="186">
        <f>SUM(P3:P6,P21,P23)</f>
        <v>664</v>
      </c>
      <c r="Q35" s="186">
        <f>SUM(Q3:Q6,Q21,Q23)</f>
        <v>516</v>
      </c>
    </row>
    <row r="36" spans="1:19" x14ac:dyDescent="0.2">
      <c r="D36" s="45" t="s">
        <v>99</v>
      </c>
      <c r="E36" s="94">
        <f>E3+E4+E5+E6+E21+E23</f>
        <v>0</v>
      </c>
      <c r="F36" s="121">
        <f>F3+F4+F5+F6+F21+F23</f>
        <v>0</v>
      </c>
      <c r="G36" s="121">
        <f>G3+G4+G5+G6+G21+G23</f>
        <v>0</v>
      </c>
      <c r="H36" s="121">
        <f>H3+H4+H5+H6+H21+H23</f>
        <v>0</v>
      </c>
      <c r="M36" s="45" t="s">
        <v>99</v>
      </c>
      <c r="N36" s="94">
        <f>N3+N4+N5+N6+N21+N23</f>
        <v>11209199.27</v>
      </c>
      <c r="O36" s="121">
        <f>O3+O4+O5+O6+O21+O23</f>
        <v>815</v>
      </c>
      <c r="P36" s="121">
        <f>P3+P4+P5+P6+P21+P23</f>
        <v>664</v>
      </c>
      <c r="Q36" s="121">
        <f>Q3+Q4+Q5+Q6+Q21+Q23</f>
        <v>516</v>
      </c>
    </row>
    <row r="37" spans="1:19" x14ac:dyDescent="0.2">
      <c r="D37" s="188" t="s">
        <v>272</v>
      </c>
      <c r="E37" s="192">
        <f>SUM(E3:E6,E15,E21,E23)</f>
        <v>0</v>
      </c>
      <c r="F37" s="186">
        <f>SUM(F3:F6,F15,F21,F23)</f>
        <v>0</v>
      </c>
      <c r="G37" s="186">
        <f>SUM(G3:G6,G15,G21,G23)</f>
        <v>0</v>
      </c>
      <c r="H37" s="186">
        <f>SUM(H3:H6,H15,H21,H23)</f>
        <v>0</v>
      </c>
      <c r="M37" s="188" t="s">
        <v>272</v>
      </c>
      <c r="N37" s="192">
        <f>SUM(N3:N6,N15,N21,N23)</f>
        <v>11329199.27</v>
      </c>
      <c r="O37" s="186">
        <f>SUM(O3:O6,O15,O21,O23)</f>
        <v>827</v>
      </c>
      <c r="P37" s="186">
        <f>SUM(P3:P6,P15,P21,P23)</f>
        <v>688</v>
      </c>
      <c r="Q37" s="186">
        <f>SUM(Q3:Q6,Q15,Q21,Q23)</f>
        <v>538</v>
      </c>
    </row>
    <row r="38" spans="1:19" x14ac:dyDescent="0.2">
      <c r="D38" s="45" t="s">
        <v>99</v>
      </c>
      <c r="E38" s="94">
        <f>E3+E4+E5+E6+E15+E21+E23</f>
        <v>0</v>
      </c>
      <c r="F38" s="121">
        <f>F3+F4+F5+F6+F15+F21+F23</f>
        <v>0</v>
      </c>
      <c r="G38" s="121">
        <f>G3+G4+G5+G6+G15+G21+G23</f>
        <v>0</v>
      </c>
      <c r="H38" s="121">
        <f>H3+H4+H5+H6+H15+H21+H23</f>
        <v>0</v>
      </c>
      <c r="M38" s="45" t="s">
        <v>99</v>
      </c>
      <c r="N38" s="94">
        <f>N3+N4+N5+N6+N15+N21+N23</f>
        <v>11329199.27</v>
      </c>
      <c r="O38" s="121">
        <f>O3+O4+O5+O6+O15+O21+O23</f>
        <v>827</v>
      </c>
      <c r="P38" s="121">
        <f>P3+P4+P5+P6+P15+P21+P23</f>
        <v>688</v>
      </c>
      <c r="Q38" s="121">
        <f>Q3+Q4+Q5+Q6+Q15+Q21+Q23</f>
        <v>538</v>
      </c>
    </row>
    <row r="39" spans="1:19" x14ac:dyDescent="0.2">
      <c r="D39" s="44"/>
      <c r="F39" s="45"/>
      <c r="G39" s="192" t="e">
        <f>SUM(H32)/G32*100</f>
        <v>#DIV/0!</v>
      </c>
      <c r="H39" s="193" t="e">
        <f>SUM(E32)/H32</f>
        <v>#DIV/0!</v>
      </c>
      <c r="P39" s="192">
        <f>SUM(Q32)/P32*100</f>
        <v>76.158038147138967</v>
      </c>
      <c r="Q39" s="193">
        <f>SUM(N32)/Q32</f>
        <v>20872.15917710197</v>
      </c>
    </row>
    <row r="40" spans="1:19" x14ac:dyDescent="0.2">
      <c r="D40" s="44"/>
      <c r="E40" s="196">
        <f>SUM(E3:E21,E23,E25:E31)</f>
        <v>0</v>
      </c>
      <c r="F40" s="200">
        <f>SUM(F3:F21,F23,F25:F31)</f>
        <v>0</v>
      </c>
      <c r="G40" s="200">
        <f>SUM(G3:G21,G23,G25:G31)</f>
        <v>0</v>
      </c>
      <c r="H40" s="200">
        <f>SUM(H3:H21,H23,H25:H31)</f>
        <v>0</v>
      </c>
      <c r="N40" s="196">
        <f>SUM(N3:N21,N23,N25:N31)</f>
        <v>11667536.98</v>
      </c>
      <c r="O40" s="200">
        <f>SUM(O3:O21,O23,O25:O31)</f>
        <v>881</v>
      </c>
      <c r="P40" s="200">
        <f>SUM(P3:P21,P23,P25:P31)</f>
        <v>734</v>
      </c>
      <c r="Q40" s="200">
        <f>SUM(Q3:Q21,Q23,Q25:Q31)</f>
        <v>559</v>
      </c>
    </row>
    <row r="41" spans="1:19" x14ac:dyDescent="0.2">
      <c r="D41" s="44"/>
      <c r="E41" s="191">
        <f>SUM(E2:E31)</f>
        <v>0</v>
      </c>
      <c r="F41" s="121">
        <f>SUM(F2:F31)</f>
        <v>0</v>
      </c>
      <c r="G41" s="121">
        <f>SUM(G2:G31)</f>
        <v>0</v>
      </c>
      <c r="H41" s="121">
        <f>SUM(H2:H31)</f>
        <v>0</v>
      </c>
      <c r="N41" s="191">
        <f>SUM(N2:N31)</f>
        <v>23335073.960000001</v>
      </c>
      <c r="O41" s="121">
        <f>SUM(O2:O31)</f>
        <v>1762</v>
      </c>
      <c r="P41" s="121">
        <f>SUM(P2:P31)</f>
        <v>1468</v>
      </c>
      <c r="Q41" s="121">
        <f>SUM(Q2:Q31)</f>
        <v>1118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Arkusz38">
    <tabColor theme="4" tint="0.59999389629810485"/>
  </sheetPr>
  <dimension ref="A1"/>
  <sheetViews>
    <sheetView view="pageBreakPreview" zoomScale="80" zoomScaleNormal="90" zoomScaleSheetLayoutView="80" workbookViewId="0"/>
  </sheetViews>
  <sheetFormatPr defaultRowHeight="15" x14ac:dyDescent="0.25"/>
  <cols>
    <col min="1" max="16384" width="9.140625" style="4"/>
  </cols>
  <sheetData/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Arkusz39">
    <tabColor theme="0"/>
  </sheetPr>
  <dimension ref="A1:S41"/>
  <sheetViews>
    <sheetView zoomScale="80" zoomScaleNormal="80" workbookViewId="0">
      <selection activeCell="J2" sqref="J2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195" t="s">
        <v>22</v>
      </c>
      <c r="B1" s="195" t="s">
        <v>23</v>
      </c>
      <c r="C1" s="195" t="s">
        <v>24</v>
      </c>
      <c r="D1" s="121" t="s">
        <v>25</v>
      </c>
      <c r="E1" s="193" t="s">
        <v>387</v>
      </c>
      <c r="F1" s="191" t="s">
        <v>388</v>
      </c>
      <c r="G1" s="191" t="s">
        <v>389</v>
      </c>
      <c r="H1" s="191" t="s">
        <v>390</v>
      </c>
      <c r="J1" s="195" t="s">
        <v>22</v>
      </c>
      <c r="K1" s="195" t="s">
        <v>23</v>
      </c>
      <c r="L1" s="195" t="s">
        <v>24</v>
      </c>
      <c r="M1" s="121" t="s">
        <v>25</v>
      </c>
      <c r="N1" s="193" t="s">
        <v>387</v>
      </c>
      <c r="O1" s="191" t="s">
        <v>388</v>
      </c>
      <c r="P1" s="191" t="s">
        <v>389</v>
      </c>
      <c r="Q1" s="191" t="s">
        <v>390</v>
      </c>
    </row>
    <row r="2" spans="1:19" ht="15" customHeight="1" x14ac:dyDescent="0.2">
      <c r="A2" s="195"/>
      <c r="B2" s="195"/>
      <c r="C2" s="195"/>
      <c r="D2" s="121"/>
      <c r="E2" s="191"/>
      <c r="F2" s="121"/>
      <c r="G2" s="121"/>
      <c r="H2" s="121"/>
      <c r="J2" s="195" t="s">
        <v>479</v>
      </c>
      <c r="K2" s="195" t="s">
        <v>26</v>
      </c>
      <c r="L2" s="195" t="s">
        <v>429</v>
      </c>
      <c r="M2" s="121" t="s">
        <v>27</v>
      </c>
      <c r="N2" s="196">
        <v>14608677.689999999</v>
      </c>
      <c r="O2" s="200">
        <v>1038</v>
      </c>
      <c r="P2" s="200">
        <v>787</v>
      </c>
      <c r="Q2" s="200">
        <v>629</v>
      </c>
      <c r="S2" s="44" t="s">
        <v>395</v>
      </c>
    </row>
    <row r="3" spans="1:19" x14ac:dyDescent="0.2">
      <c r="A3" s="195"/>
      <c r="B3" s="195"/>
      <c r="C3" s="195"/>
      <c r="D3" s="121"/>
      <c r="E3" s="191"/>
      <c r="F3" s="121"/>
      <c r="G3" s="121"/>
      <c r="H3" s="121"/>
      <c r="I3" s="186">
        <v>1</v>
      </c>
      <c r="J3" s="195" t="s">
        <v>479</v>
      </c>
      <c r="K3" s="195" t="s">
        <v>26</v>
      </c>
      <c r="L3" s="195" t="s">
        <v>429</v>
      </c>
      <c r="M3" s="121" t="s">
        <v>28</v>
      </c>
      <c r="N3" s="197">
        <v>5795371.6100000003</v>
      </c>
      <c r="O3" s="198">
        <v>434</v>
      </c>
      <c r="P3" s="198">
        <v>320</v>
      </c>
      <c r="Q3" s="198">
        <v>248</v>
      </c>
      <c r="R3" s="186">
        <v>1</v>
      </c>
      <c r="S3" s="187" t="s">
        <v>396</v>
      </c>
    </row>
    <row r="4" spans="1:19" x14ac:dyDescent="0.2">
      <c r="A4" s="195"/>
      <c r="B4" s="195"/>
      <c r="C4" s="195"/>
      <c r="D4" s="121"/>
      <c r="E4" s="191"/>
      <c r="F4" s="121"/>
      <c r="G4" s="121"/>
      <c r="H4" s="121"/>
      <c r="I4" s="186">
        <v>2</v>
      </c>
      <c r="J4" s="195" t="s">
        <v>479</v>
      </c>
      <c r="K4" s="195" t="s">
        <v>26</v>
      </c>
      <c r="L4" s="195" t="s">
        <v>429</v>
      </c>
      <c r="M4" s="121" t="s">
        <v>29</v>
      </c>
      <c r="N4" s="197">
        <v>357857.98</v>
      </c>
      <c r="O4" s="198">
        <v>41</v>
      </c>
      <c r="P4" s="198">
        <v>41</v>
      </c>
      <c r="Q4" s="198">
        <v>37</v>
      </c>
      <c r="R4" s="186">
        <v>2</v>
      </c>
      <c r="S4" s="187" t="s">
        <v>397</v>
      </c>
    </row>
    <row r="5" spans="1:19" x14ac:dyDescent="0.2">
      <c r="A5" s="195"/>
      <c r="B5" s="195"/>
      <c r="C5" s="195"/>
      <c r="D5" s="121"/>
      <c r="E5" s="191"/>
      <c r="F5" s="121"/>
      <c r="G5" s="121"/>
      <c r="H5" s="121"/>
      <c r="I5" s="186">
        <v>3</v>
      </c>
      <c r="J5" s="195" t="s">
        <v>479</v>
      </c>
      <c r="K5" s="195" t="s">
        <v>26</v>
      </c>
      <c r="L5" s="195" t="s">
        <v>429</v>
      </c>
      <c r="M5" s="121" t="s">
        <v>30</v>
      </c>
      <c r="N5" s="197">
        <v>2975623.06</v>
      </c>
      <c r="O5" s="198">
        <v>348</v>
      </c>
      <c r="P5" s="198">
        <v>191</v>
      </c>
      <c r="Q5" s="198">
        <v>160</v>
      </c>
      <c r="R5" s="186">
        <v>3</v>
      </c>
      <c r="S5" s="187" t="s">
        <v>399</v>
      </c>
    </row>
    <row r="6" spans="1:19" x14ac:dyDescent="0.2">
      <c r="A6" s="195"/>
      <c r="B6" s="195"/>
      <c r="C6" s="195"/>
      <c r="D6" s="121"/>
      <c r="E6" s="191"/>
      <c r="F6" s="121"/>
      <c r="G6" s="121"/>
      <c r="H6" s="121"/>
      <c r="I6" s="186">
        <v>4</v>
      </c>
      <c r="J6" s="195" t="s">
        <v>479</v>
      </c>
      <c r="K6" s="195" t="s">
        <v>26</v>
      </c>
      <c r="L6" s="195" t="s">
        <v>429</v>
      </c>
      <c r="M6" s="121" t="s">
        <v>31</v>
      </c>
      <c r="N6" s="197">
        <v>1537542.48</v>
      </c>
      <c r="O6" s="198">
        <v>77</v>
      </c>
      <c r="P6" s="198">
        <v>77</v>
      </c>
      <c r="Q6" s="198">
        <v>63</v>
      </c>
      <c r="R6" s="186">
        <v>4</v>
      </c>
      <c r="S6" s="187" t="s">
        <v>398</v>
      </c>
    </row>
    <row r="7" spans="1:19" x14ac:dyDescent="0.2">
      <c r="A7" s="195"/>
      <c r="B7" s="195"/>
      <c r="C7" s="195"/>
      <c r="D7" s="121"/>
      <c r="E7" s="191"/>
      <c r="F7" s="121"/>
      <c r="G7" s="121"/>
      <c r="H7" s="121"/>
      <c r="I7" s="189" t="s">
        <v>417</v>
      </c>
      <c r="J7" s="195" t="s">
        <v>479</v>
      </c>
      <c r="K7" s="195" t="s">
        <v>26</v>
      </c>
      <c r="L7" s="195" t="s">
        <v>429</v>
      </c>
      <c r="M7" s="121" t="s">
        <v>32</v>
      </c>
      <c r="N7" s="199">
        <v>38671.56</v>
      </c>
      <c r="O7" s="198">
        <v>29</v>
      </c>
      <c r="P7" s="198">
        <v>26</v>
      </c>
      <c r="Q7" s="198">
        <v>2</v>
      </c>
      <c r="R7" s="189" t="s">
        <v>417</v>
      </c>
      <c r="S7" s="187" t="s">
        <v>400</v>
      </c>
    </row>
    <row r="8" spans="1:19" x14ac:dyDescent="0.2">
      <c r="A8" s="195"/>
      <c r="B8" s="195"/>
      <c r="C8" s="195"/>
      <c r="D8" s="121"/>
      <c r="E8" s="191"/>
      <c r="F8" s="121"/>
      <c r="G8" s="121"/>
      <c r="H8" s="121"/>
      <c r="I8" s="121"/>
      <c r="J8" s="195" t="s">
        <v>479</v>
      </c>
      <c r="K8" s="195" t="s">
        <v>26</v>
      </c>
      <c r="L8" s="195" t="s">
        <v>429</v>
      </c>
      <c r="M8" s="121" t="s">
        <v>33</v>
      </c>
      <c r="N8" s="196">
        <v>0</v>
      </c>
      <c r="O8" s="200">
        <v>0</v>
      </c>
      <c r="P8" s="200">
        <v>0</v>
      </c>
      <c r="Q8" s="200">
        <v>0</v>
      </c>
      <c r="R8" s="121"/>
      <c r="S8" s="44" t="s">
        <v>401</v>
      </c>
    </row>
    <row r="9" spans="1:19" x14ac:dyDescent="0.2">
      <c r="A9" s="195"/>
      <c r="B9" s="195"/>
      <c r="C9" s="195"/>
      <c r="D9" s="121"/>
      <c r="E9" s="191"/>
      <c r="F9" s="121"/>
      <c r="G9" s="121"/>
      <c r="H9" s="121"/>
      <c r="I9" s="121"/>
      <c r="J9" s="195" t="s">
        <v>479</v>
      </c>
      <c r="K9" s="195" t="s">
        <v>26</v>
      </c>
      <c r="L9" s="195" t="s">
        <v>429</v>
      </c>
      <c r="M9" s="121" t="s">
        <v>34</v>
      </c>
      <c r="N9" s="196">
        <v>0</v>
      </c>
      <c r="O9" s="200">
        <v>0</v>
      </c>
      <c r="P9" s="200">
        <v>0</v>
      </c>
      <c r="Q9" s="200">
        <v>0</v>
      </c>
      <c r="R9" s="121"/>
      <c r="S9" s="44" t="s">
        <v>6</v>
      </c>
    </row>
    <row r="10" spans="1:19" ht="15" customHeight="1" x14ac:dyDescent="0.2">
      <c r="A10" s="195"/>
      <c r="B10" s="195"/>
      <c r="C10" s="195"/>
      <c r="D10" s="121"/>
      <c r="E10" s="191"/>
      <c r="F10" s="121"/>
      <c r="G10" s="121"/>
      <c r="H10" s="121"/>
      <c r="I10" s="121"/>
      <c r="J10" s="195" t="s">
        <v>479</v>
      </c>
      <c r="K10" s="195" t="s">
        <v>26</v>
      </c>
      <c r="L10" s="195" t="s">
        <v>429</v>
      </c>
      <c r="M10" s="121" t="s">
        <v>35</v>
      </c>
      <c r="N10" s="196">
        <v>0</v>
      </c>
      <c r="O10" s="200">
        <v>0</v>
      </c>
      <c r="P10" s="200">
        <v>0</v>
      </c>
      <c r="Q10" s="200">
        <v>0</v>
      </c>
      <c r="R10" s="121"/>
      <c r="S10" s="44" t="s">
        <v>402</v>
      </c>
    </row>
    <row r="11" spans="1:19" ht="15" customHeight="1" x14ac:dyDescent="0.2">
      <c r="A11" s="195"/>
      <c r="B11" s="195"/>
      <c r="C11" s="195"/>
      <c r="D11" s="121"/>
      <c r="E11" s="191"/>
      <c r="F11" s="121"/>
      <c r="G11" s="121"/>
      <c r="H11" s="121"/>
      <c r="I11" s="121"/>
      <c r="J11" s="195" t="s">
        <v>479</v>
      </c>
      <c r="K11" s="195" t="s">
        <v>26</v>
      </c>
      <c r="L11" s="195" t="s">
        <v>429</v>
      </c>
      <c r="M11" s="121" t="s">
        <v>36</v>
      </c>
      <c r="N11" s="196">
        <v>0</v>
      </c>
      <c r="O11" s="200">
        <v>0</v>
      </c>
      <c r="P11" s="200">
        <v>0</v>
      </c>
      <c r="Q11" s="200">
        <v>0</v>
      </c>
      <c r="R11" s="121"/>
      <c r="S11" s="44" t="s">
        <v>8</v>
      </c>
    </row>
    <row r="12" spans="1:19" x14ac:dyDescent="0.2">
      <c r="A12" s="195"/>
      <c r="B12" s="195"/>
      <c r="C12" s="195"/>
      <c r="D12" s="121"/>
      <c r="E12" s="191"/>
      <c r="F12" s="121"/>
      <c r="G12" s="121"/>
      <c r="H12" s="121"/>
      <c r="I12" s="121"/>
      <c r="J12" s="195" t="s">
        <v>479</v>
      </c>
      <c r="K12" s="195" t="s">
        <v>26</v>
      </c>
      <c r="L12" s="195" t="s">
        <v>429</v>
      </c>
      <c r="M12" s="121" t="s">
        <v>37</v>
      </c>
      <c r="N12" s="196">
        <v>0</v>
      </c>
      <c r="O12" s="200">
        <v>0</v>
      </c>
      <c r="P12" s="200">
        <v>0</v>
      </c>
      <c r="Q12" s="200">
        <v>0</v>
      </c>
      <c r="R12" s="121"/>
      <c r="S12" s="44" t="s">
        <v>403</v>
      </c>
    </row>
    <row r="13" spans="1:19" x14ac:dyDescent="0.2">
      <c r="A13" s="195"/>
      <c r="B13" s="195"/>
      <c r="C13" s="195"/>
      <c r="D13" s="121"/>
      <c r="E13" s="191"/>
      <c r="F13" s="121"/>
      <c r="G13" s="121"/>
      <c r="H13" s="121"/>
      <c r="I13" s="189" t="s">
        <v>419</v>
      </c>
      <c r="J13" s="195" t="s">
        <v>479</v>
      </c>
      <c r="K13" s="195" t="s">
        <v>26</v>
      </c>
      <c r="L13" s="195" t="s">
        <v>429</v>
      </c>
      <c r="M13" s="121" t="s">
        <v>26</v>
      </c>
      <c r="N13" s="199">
        <v>7853.04</v>
      </c>
      <c r="O13" s="198">
        <v>3</v>
      </c>
      <c r="P13" s="198">
        <v>3</v>
      </c>
      <c r="Q13" s="198">
        <v>3</v>
      </c>
      <c r="R13" s="189" t="s">
        <v>419</v>
      </c>
      <c r="S13" s="187" t="s">
        <v>9</v>
      </c>
    </row>
    <row r="14" spans="1:19" ht="15" customHeight="1" x14ac:dyDescent="0.2">
      <c r="A14" s="195"/>
      <c r="B14" s="195"/>
      <c r="C14" s="195"/>
      <c r="D14" s="121"/>
      <c r="E14" s="191"/>
      <c r="F14" s="121"/>
      <c r="G14" s="121"/>
      <c r="H14" s="121"/>
      <c r="I14" s="121"/>
      <c r="J14" s="195" t="s">
        <v>479</v>
      </c>
      <c r="K14" s="195" t="s">
        <v>26</v>
      </c>
      <c r="L14" s="195" t="s">
        <v>429</v>
      </c>
      <c r="M14" s="121" t="s">
        <v>38</v>
      </c>
      <c r="N14" s="196">
        <v>0</v>
      </c>
      <c r="O14" s="200">
        <v>0</v>
      </c>
      <c r="P14" s="200">
        <v>0</v>
      </c>
      <c r="Q14" s="200">
        <v>0</v>
      </c>
      <c r="R14" s="121"/>
      <c r="S14" s="44" t="s">
        <v>404</v>
      </c>
    </row>
    <row r="15" spans="1:19" ht="15" customHeight="1" x14ac:dyDescent="0.2">
      <c r="A15" s="195"/>
      <c r="B15" s="195"/>
      <c r="C15" s="195"/>
      <c r="D15" s="121"/>
      <c r="E15" s="191"/>
      <c r="F15" s="121"/>
      <c r="G15" s="121"/>
      <c r="H15" s="121"/>
      <c r="I15" s="189" t="s">
        <v>51</v>
      </c>
      <c r="J15" s="195" t="s">
        <v>479</v>
      </c>
      <c r="K15" s="195" t="s">
        <v>26</v>
      </c>
      <c r="L15" s="195" t="s">
        <v>429</v>
      </c>
      <c r="M15" s="121" t="s">
        <v>39</v>
      </c>
      <c r="N15" s="199">
        <v>280000</v>
      </c>
      <c r="O15" s="198">
        <v>20</v>
      </c>
      <c r="P15" s="198">
        <v>27</v>
      </c>
      <c r="Q15" s="198">
        <v>24</v>
      </c>
      <c r="R15" s="189" t="s">
        <v>51</v>
      </c>
      <c r="S15" s="187" t="s">
        <v>11</v>
      </c>
    </row>
    <row r="16" spans="1:19" x14ac:dyDescent="0.2">
      <c r="A16" s="195"/>
      <c r="B16" s="195"/>
      <c r="C16" s="195"/>
      <c r="D16" s="121"/>
      <c r="E16" s="191"/>
      <c r="F16" s="121"/>
      <c r="G16" s="121"/>
      <c r="H16" s="121"/>
      <c r="I16" s="189" t="s">
        <v>418</v>
      </c>
      <c r="J16" s="195" t="s">
        <v>479</v>
      </c>
      <c r="K16" s="195" t="s">
        <v>26</v>
      </c>
      <c r="L16" s="195" t="s">
        <v>429</v>
      </c>
      <c r="M16" s="121" t="s">
        <v>40</v>
      </c>
      <c r="N16" s="199">
        <v>0</v>
      </c>
      <c r="O16" s="198">
        <v>0</v>
      </c>
      <c r="P16" s="198">
        <v>0</v>
      </c>
      <c r="Q16" s="198">
        <v>0</v>
      </c>
      <c r="R16" s="189" t="s">
        <v>418</v>
      </c>
      <c r="S16" s="187" t="s">
        <v>405</v>
      </c>
    </row>
    <row r="17" spans="1:19" x14ac:dyDescent="0.2">
      <c r="A17" s="195"/>
      <c r="B17" s="195"/>
      <c r="C17" s="195"/>
      <c r="D17" s="121"/>
      <c r="E17" s="191"/>
      <c r="F17" s="121"/>
      <c r="G17" s="121"/>
      <c r="H17" s="121"/>
      <c r="I17" s="121"/>
      <c r="J17" s="195" t="s">
        <v>479</v>
      </c>
      <c r="K17" s="195" t="s">
        <v>26</v>
      </c>
      <c r="L17" s="195" t="s">
        <v>429</v>
      </c>
      <c r="M17" s="121" t="s">
        <v>41</v>
      </c>
      <c r="N17" s="196">
        <v>0</v>
      </c>
      <c r="O17" s="200">
        <v>0</v>
      </c>
      <c r="P17" s="200">
        <v>0</v>
      </c>
      <c r="Q17" s="200">
        <v>0</v>
      </c>
      <c r="R17" s="121"/>
      <c r="S17" s="44" t="s">
        <v>406</v>
      </c>
    </row>
    <row r="18" spans="1:19" ht="15" customHeight="1" x14ac:dyDescent="0.2">
      <c r="A18" s="195"/>
      <c r="B18" s="195"/>
      <c r="C18" s="195"/>
      <c r="D18" s="121"/>
      <c r="E18" s="191"/>
      <c r="F18" s="121"/>
      <c r="G18" s="121"/>
      <c r="H18" s="121"/>
      <c r="I18" s="189" t="s">
        <v>420</v>
      </c>
      <c r="J18" s="195" t="s">
        <v>479</v>
      </c>
      <c r="K18" s="195" t="s">
        <v>26</v>
      </c>
      <c r="L18" s="195" t="s">
        <v>429</v>
      </c>
      <c r="M18" s="121" t="s">
        <v>42</v>
      </c>
      <c r="N18" s="199">
        <v>0</v>
      </c>
      <c r="O18" s="198">
        <v>0</v>
      </c>
      <c r="P18" s="198">
        <v>0</v>
      </c>
      <c r="Q18" s="198">
        <v>0</v>
      </c>
      <c r="R18" s="189" t="s">
        <v>420</v>
      </c>
      <c r="S18" s="187" t="s">
        <v>376</v>
      </c>
    </row>
    <row r="19" spans="1:19" ht="15" customHeight="1" x14ac:dyDescent="0.2">
      <c r="A19" s="195"/>
      <c r="B19" s="195"/>
      <c r="C19" s="195"/>
      <c r="D19" s="121"/>
      <c r="E19" s="191"/>
      <c r="F19" s="121"/>
      <c r="G19" s="121"/>
      <c r="H19" s="121"/>
      <c r="I19" s="189" t="s">
        <v>416</v>
      </c>
      <c r="J19" s="195" t="s">
        <v>479</v>
      </c>
      <c r="K19" s="195" t="s">
        <v>26</v>
      </c>
      <c r="L19" s="195" t="s">
        <v>429</v>
      </c>
      <c r="M19" s="121" t="s">
        <v>43</v>
      </c>
      <c r="N19" s="199">
        <v>0</v>
      </c>
      <c r="O19" s="198">
        <v>0</v>
      </c>
      <c r="P19" s="198">
        <v>0</v>
      </c>
      <c r="Q19" s="198">
        <v>0</v>
      </c>
      <c r="R19" s="189" t="s">
        <v>416</v>
      </c>
      <c r="S19" s="187" t="s">
        <v>377</v>
      </c>
    </row>
    <row r="20" spans="1:19" x14ac:dyDescent="0.2">
      <c r="A20" s="195"/>
      <c r="B20" s="195"/>
      <c r="C20" s="195"/>
      <c r="D20" s="121"/>
      <c r="E20" s="191"/>
      <c r="F20" s="121"/>
      <c r="G20" s="121"/>
      <c r="H20" s="121"/>
      <c r="I20" s="121"/>
      <c r="J20" s="195" t="s">
        <v>479</v>
      </c>
      <c r="K20" s="195" t="s">
        <v>26</v>
      </c>
      <c r="L20" s="195" t="s">
        <v>429</v>
      </c>
      <c r="M20" s="121" t="s">
        <v>44</v>
      </c>
      <c r="N20" s="196">
        <v>0</v>
      </c>
      <c r="O20" s="200">
        <v>0</v>
      </c>
      <c r="P20" s="200">
        <v>0</v>
      </c>
      <c r="Q20" s="200">
        <v>0</v>
      </c>
      <c r="R20" s="121"/>
      <c r="S20" s="44" t="s">
        <v>15</v>
      </c>
    </row>
    <row r="21" spans="1:19" x14ac:dyDescent="0.2">
      <c r="A21" s="195"/>
      <c r="B21" s="195"/>
      <c r="C21" s="195"/>
      <c r="D21" s="121"/>
      <c r="E21" s="191"/>
      <c r="F21" s="121"/>
      <c r="G21" s="121"/>
      <c r="H21" s="121"/>
      <c r="I21" s="186">
        <v>6</v>
      </c>
      <c r="J21" s="195" t="s">
        <v>479</v>
      </c>
      <c r="K21" s="195" t="s">
        <v>26</v>
      </c>
      <c r="L21" s="195" t="s">
        <v>429</v>
      </c>
      <c r="M21" s="121" t="s">
        <v>45</v>
      </c>
      <c r="N21" s="197">
        <v>1791486.04</v>
      </c>
      <c r="O21" s="198">
        <v>43</v>
      </c>
      <c r="P21" s="198">
        <v>61</v>
      </c>
      <c r="Q21" s="198">
        <v>57</v>
      </c>
      <c r="R21" s="186">
        <v>6</v>
      </c>
      <c r="S21" s="187" t="s">
        <v>16</v>
      </c>
    </row>
    <row r="22" spans="1:19" x14ac:dyDescent="0.2">
      <c r="A22" s="195"/>
      <c r="B22" s="195"/>
      <c r="C22" s="195"/>
      <c r="D22" s="121"/>
      <c r="E22" s="191"/>
      <c r="F22" s="121"/>
      <c r="G22" s="121"/>
      <c r="H22" s="121"/>
      <c r="I22" s="121"/>
      <c r="J22" s="195" t="s">
        <v>479</v>
      </c>
      <c r="K22" s="195" t="s">
        <v>26</v>
      </c>
      <c r="L22" s="195" t="s">
        <v>429</v>
      </c>
      <c r="M22" s="121" t="s">
        <v>46</v>
      </c>
      <c r="N22" s="196">
        <v>0</v>
      </c>
      <c r="O22" s="200">
        <v>0</v>
      </c>
      <c r="P22" s="200">
        <v>0</v>
      </c>
      <c r="Q22" s="200">
        <v>0</v>
      </c>
      <c r="R22" s="121"/>
      <c r="S22" s="44" t="s">
        <v>407</v>
      </c>
    </row>
    <row r="23" spans="1:19" ht="15" customHeight="1" x14ac:dyDescent="0.2">
      <c r="A23" s="195"/>
      <c r="B23" s="195"/>
      <c r="C23" s="195"/>
      <c r="D23" s="121"/>
      <c r="E23" s="191"/>
      <c r="F23" s="121"/>
      <c r="G23" s="121"/>
      <c r="H23" s="121"/>
      <c r="I23" s="186">
        <v>5</v>
      </c>
      <c r="J23" s="195" t="s">
        <v>479</v>
      </c>
      <c r="K23" s="195" t="s">
        <v>26</v>
      </c>
      <c r="L23" s="195" t="s">
        <v>429</v>
      </c>
      <c r="M23" s="121" t="s">
        <v>47</v>
      </c>
      <c r="N23" s="197">
        <v>1824271.92</v>
      </c>
      <c r="O23" s="198">
        <v>43</v>
      </c>
      <c r="P23" s="198">
        <v>41</v>
      </c>
      <c r="Q23" s="198">
        <v>35</v>
      </c>
      <c r="R23" s="186">
        <v>5</v>
      </c>
      <c r="S23" s="187" t="s">
        <v>17</v>
      </c>
    </row>
    <row r="24" spans="1:19" ht="15" customHeight="1" x14ac:dyDescent="0.2">
      <c r="A24" s="195"/>
      <c r="B24" s="195"/>
      <c r="C24" s="195"/>
      <c r="D24" s="121"/>
      <c r="E24" s="191"/>
      <c r="F24" s="121"/>
      <c r="G24" s="121"/>
      <c r="H24" s="121"/>
      <c r="I24" s="45"/>
      <c r="J24" s="195" t="s">
        <v>479</v>
      </c>
      <c r="K24" s="195" t="s">
        <v>26</v>
      </c>
      <c r="L24" s="195" t="s">
        <v>429</v>
      </c>
      <c r="M24" s="121" t="s">
        <v>48</v>
      </c>
      <c r="N24" s="196">
        <v>0</v>
      </c>
      <c r="O24" s="200">
        <v>0</v>
      </c>
      <c r="P24" s="200">
        <v>0</v>
      </c>
      <c r="Q24" s="200">
        <v>0</v>
      </c>
      <c r="S24" s="44" t="s">
        <v>407</v>
      </c>
    </row>
    <row r="25" spans="1:19" ht="15" customHeight="1" x14ac:dyDescent="0.2">
      <c r="A25" s="195"/>
      <c r="B25" s="195"/>
      <c r="C25" s="195"/>
      <c r="D25" s="121"/>
      <c r="E25" s="191"/>
      <c r="F25" s="121"/>
      <c r="G25" s="121"/>
      <c r="H25" s="121"/>
      <c r="I25" s="45"/>
      <c r="J25" s="195" t="s">
        <v>479</v>
      </c>
      <c r="K25" s="195" t="s">
        <v>26</v>
      </c>
      <c r="L25" s="195" t="s">
        <v>429</v>
      </c>
      <c r="M25" s="121" t="s">
        <v>319</v>
      </c>
      <c r="N25" s="196">
        <v>0</v>
      </c>
      <c r="O25" s="200">
        <v>0</v>
      </c>
      <c r="P25" s="200">
        <v>0</v>
      </c>
      <c r="Q25" s="200">
        <v>0</v>
      </c>
      <c r="S25" s="44" t="s">
        <v>18</v>
      </c>
    </row>
    <row r="26" spans="1:19" ht="15" customHeight="1" x14ac:dyDescent="0.2">
      <c r="A26" s="195"/>
      <c r="B26" s="195"/>
      <c r="C26" s="195"/>
      <c r="D26" s="121"/>
      <c r="E26" s="191"/>
      <c r="F26" s="121"/>
      <c r="G26" s="121"/>
      <c r="H26" s="121"/>
      <c r="I26" s="190" t="s">
        <v>421</v>
      </c>
      <c r="J26" s="195" t="s">
        <v>479</v>
      </c>
      <c r="K26" s="195" t="s">
        <v>26</v>
      </c>
      <c r="L26" s="195" t="s">
        <v>429</v>
      </c>
      <c r="M26" s="121" t="s">
        <v>320</v>
      </c>
      <c r="N26" s="199">
        <v>0</v>
      </c>
      <c r="O26" s="198">
        <v>0</v>
      </c>
      <c r="P26" s="198">
        <v>0</v>
      </c>
      <c r="Q26" s="198">
        <v>0</v>
      </c>
      <c r="R26" s="190" t="s">
        <v>421</v>
      </c>
      <c r="S26" s="187" t="s">
        <v>358</v>
      </c>
    </row>
    <row r="27" spans="1:19" x14ac:dyDescent="0.2">
      <c r="A27" s="195"/>
      <c r="B27" s="195"/>
      <c r="C27" s="195"/>
      <c r="D27" s="121"/>
      <c r="E27" s="191"/>
      <c r="F27" s="121"/>
      <c r="G27" s="121"/>
      <c r="H27" s="121"/>
      <c r="I27" s="190" t="s">
        <v>415</v>
      </c>
      <c r="J27" s="195" t="s">
        <v>479</v>
      </c>
      <c r="K27" s="195" t="s">
        <v>26</v>
      </c>
      <c r="L27" s="195" t="s">
        <v>429</v>
      </c>
      <c r="M27" s="121" t="s">
        <v>321</v>
      </c>
      <c r="N27" s="199">
        <v>0</v>
      </c>
      <c r="O27" s="198">
        <v>0</v>
      </c>
      <c r="P27" s="198">
        <v>0</v>
      </c>
      <c r="Q27" s="198">
        <v>0</v>
      </c>
      <c r="R27" s="190" t="s">
        <v>415</v>
      </c>
      <c r="S27" s="187" t="s">
        <v>408</v>
      </c>
    </row>
    <row r="28" spans="1:19" x14ac:dyDescent="0.2">
      <c r="A28" s="195"/>
      <c r="B28" s="195"/>
      <c r="C28" s="195"/>
      <c r="D28" s="121"/>
      <c r="E28" s="191"/>
      <c r="F28" s="121"/>
      <c r="G28" s="121"/>
      <c r="H28" s="121"/>
      <c r="J28" s="195" t="s">
        <v>479</v>
      </c>
      <c r="K28" s="195" t="s">
        <v>26</v>
      </c>
      <c r="L28" s="195" t="s">
        <v>429</v>
      </c>
      <c r="M28" s="121" t="s">
        <v>322</v>
      </c>
      <c r="N28" s="196">
        <v>0</v>
      </c>
      <c r="O28" s="200">
        <v>0</v>
      </c>
      <c r="P28" s="200">
        <v>0</v>
      </c>
      <c r="Q28" s="200">
        <v>0</v>
      </c>
      <c r="S28" s="44" t="s">
        <v>215</v>
      </c>
    </row>
    <row r="29" spans="1:19" x14ac:dyDescent="0.2">
      <c r="A29" s="195"/>
      <c r="B29" s="195"/>
      <c r="C29" s="195"/>
      <c r="D29" s="121"/>
      <c r="E29" s="191"/>
      <c r="F29" s="121"/>
      <c r="G29" s="121"/>
      <c r="H29" s="121"/>
      <c r="J29" s="195" t="s">
        <v>479</v>
      </c>
      <c r="K29" s="195" t="s">
        <v>26</v>
      </c>
      <c r="L29" s="195" t="s">
        <v>429</v>
      </c>
      <c r="M29" s="121" t="s">
        <v>391</v>
      </c>
      <c r="N29" s="196">
        <v>0</v>
      </c>
      <c r="O29" s="200">
        <v>0</v>
      </c>
      <c r="P29" s="200">
        <v>0</v>
      </c>
      <c r="Q29" s="200">
        <v>0</v>
      </c>
      <c r="S29" s="44" t="s">
        <v>409</v>
      </c>
    </row>
    <row r="30" spans="1:19" ht="15" customHeight="1" x14ac:dyDescent="0.2">
      <c r="A30" s="195"/>
      <c r="B30" s="195"/>
      <c r="C30" s="195"/>
      <c r="D30" s="121"/>
      <c r="E30" s="191"/>
      <c r="F30" s="121"/>
      <c r="G30" s="121"/>
      <c r="H30" s="121"/>
      <c r="J30" s="195" t="s">
        <v>479</v>
      </c>
      <c r="K30" s="195" t="s">
        <v>26</v>
      </c>
      <c r="L30" s="195" t="s">
        <v>429</v>
      </c>
      <c r="M30" s="121" t="s">
        <v>392</v>
      </c>
      <c r="N30" s="196">
        <v>0</v>
      </c>
      <c r="O30" s="200">
        <v>0</v>
      </c>
      <c r="P30" s="200">
        <v>0</v>
      </c>
      <c r="Q30" s="200">
        <v>0</v>
      </c>
      <c r="S30" s="44" t="s">
        <v>410</v>
      </c>
    </row>
    <row r="31" spans="1:19" x14ac:dyDescent="0.2">
      <c r="A31" s="195"/>
      <c r="B31" s="195"/>
      <c r="C31" s="195"/>
      <c r="D31" s="121"/>
      <c r="E31" s="191"/>
      <c r="F31" s="121"/>
      <c r="G31" s="121"/>
      <c r="H31" s="121"/>
      <c r="J31" s="195" t="s">
        <v>479</v>
      </c>
      <c r="K31" s="195" t="s">
        <v>26</v>
      </c>
      <c r="L31" s="195" t="s">
        <v>429</v>
      </c>
      <c r="M31" s="121" t="s">
        <v>393</v>
      </c>
      <c r="N31" s="196">
        <v>0</v>
      </c>
      <c r="O31" s="200">
        <v>0</v>
      </c>
      <c r="P31" s="200">
        <v>0</v>
      </c>
      <c r="Q31" s="200">
        <v>0</v>
      </c>
      <c r="S31" s="44" t="s">
        <v>411</v>
      </c>
    </row>
    <row r="32" spans="1:19" x14ac:dyDescent="0.2">
      <c r="A32" s="195"/>
      <c r="B32" s="195"/>
      <c r="C32" s="195"/>
      <c r="D32" s="201"/>
      <c r="E32" s="202"/>
      <c r="F32" s="201"/>
      <c r="G32" s="201"/>
      <c r="H32" s="201"/>
      <c r="J32" s="195" t="s">
        <v>479</v>
      </c>
      <c r="K32" s="195" t="s">
        <v>26</v>
      </c>
      <c r="L32" s="195" t="s">
        <v>429</v>
      </c>
      <c r="M32" s="201" t="s">
        <v>394</v>
      </c>
      <c r="N32" s="203">
        <v>29217355.379999999</v>
      </c>
      <c r="O32" s="204">
        <v>2076</v>
      </c>
      <c r="P32" s="204">
        <v>1574</v>
      </c>
      <c r="Q32" s="204">
        <v>1258</v>
      </c>
      <c r="S32" s="185" t="s">
        <v>412</v>
      </c>
    </row>
    <row r="33" spans="1:19" x14ac:dyDescent="0.2">
      <c r="A33" s="195"/>
      <c r="B33" s="195"/>
      <c r="C33" s="195"/>
      <c r="D33" s="121"/>
      <c r="E33" s="191"/>
      <c r="F33" s="121"/>
      <c r="G33" s="121"/>
      <c r="H33" s="121"/>
      <c r="J33" s="195" t="s">
        <v>479</v>
      </c>
      <c r="K33" s="195" t="s">
        <v>26</v>
      </c>
      <c r="L33" s="195" t="s">
        <v>429</v>
      </c>
      <c r="M33" s="121" t="s">
        <v>49</v>
      </c>
      <c r="N33" s="196">
        <v>1000</v>
      </c>
      <c r="O33" s="200">
        <v>0</v>
      </c>
      <c r="P33" s="200">
        <v>0</v>
      </c>
      <c r="Q33" s="200">
        <v>0</v>
      </c>
      <c r="S33" s="44" t="s">
        <v>413</v>
      </c>
    </row>
    <row r="34" spans="1:19" x14ac:dyDescent="0.2">
      <c r="A34" s="195"/>
      <c r="B34" s="195"/>
      <c r="C34" s="195"/>
      <c r="D34" s="121"/>
      <c r="E34" s="191"/>
      <c r="F34" s="121"/>
      <c r="G34" s="121"/>
      <c r="H34" s="121"/>
      <c r="J34" s="195" t="s">
        <v>479</v>
      </c>
      <c r="K34" s="195" t="s">
        <v>26</v>
      </c>
      <c r="L34" s="195" t="s">
        <v>429</v>
      </c>
      <c r="M34" s="121" t="s">
        <v>50</v>
      </c>
      <c r="N34" s="196">
        <v>50</v>
      </c>
      <c r="O34" s="200">
        <v>0</v>
      </c>
      <c r="P34" s="200">
        <v>0</v>
      </c>
      <c r="Q34" s="200">
        <v>0</v>
      </c>
      <c r="S34" s="44" t="s">
        <v>414</v>
      </c>
    </row>
    <row r="35" spans="1:19" x14ac:dyDescent="0.2">
      <c r="D35" s="188" t="s">
        <v>89</v>
      </c>
      <c r="E35" s="192">
        <f>SUM(E3:E6,E21,E23)</f>
        <v>0</v>
      </c>
      <c r="F35" s="186">
        <f>SUM(F3:F6,F21,F23)</f>
        <v>0</v>
      </c>
      <c r="G35" s="186">
        <f>SUM(G3:G6,G21,G23)</f>
        <v>0</v>
      </c>
      <c r="H35" s="186">
        <f>SUM(H3:H6,H21,H23)</f>
        <v>0</v>
      </c>
      <c r="M35" s="188" t="s">
        <v>89</v>
      </c>
      <c r="N35" s="192">
        <f>SUM(N3:N6,N21,N23)</f>
        <v>14282153.090000002</v>
      </c>
      <c r="O35" s="186">
        <f>SUM(O3:O6,O21,O23)</f>
        <v>986</v>
      </c>
      <c r="P35" s="186">
        <f>SUM(P3:P6,P21,P23)</f>
        <v>731</v>
      </c>
      <c r="Q35" s="186">
        <f>SUM(Q3:Q6,Q21,Q23)</f>
        <v>600</v>
      </c>
    </row>
    <row r="36" spans="1:19" x14ac:dyDescent="0.2">
      <c r="D36" s="45" t="s">
        <v>99</v>
      </c>
      <c r="E36" s="94">
        <f>E3+E4+E5+E6+E21+E23</f>
        <v>0</v>
      </c>
      <c r="F36" s="121">
        <f>F3+F4+F5+F6+F21+F23</f>
        <v>0</v>
      </c>
      <c r="G36" s="121">
        <f>G3+G4+G5+G6+G21+G23</f>
        <v>0</v>
      </c>
      <c r="H36" s="121">
        <f>H3+H4+H5+H6+H21+H23</f>
        <v>0</v>
      </c>
      <c r="M36" s="45" t="s">
        <v>99</v>
      </c>
      <c r="N36" s="94">
        <f>N3+N4+N5+N6+N21+N23</f>
        <v>14282153.090000002</v>
      </c>
      <c r="O36" s="121">
        <f>O3+O4+O5+O6+O21+O23</f>
        <v>986</v>
      </c>
      <c r="P36" s="121">
        <f>P3+P4+P5+P6+P21+P23</f>
        <v>731</v>
      </c>
      <c r="Q36" s="121">
        <f>Q3+Q4+Q5+Q6+Q21+Q23</f>
        <v>600</v>
      </c>
    </row>
    <row r="37" spans="1:19" x14ac:dyDescent="0.2">
      <c r="D37" s="188" t="s">
        <v>272</v>
      </c>
      <c r="E37" s="192">
        <f>SUM(E3:E6,E15,E21,E23)</f>
        <v>0</v>
      </c>
      <c r="F37" s="186">
        <f>SUM(F3:F6,F15,F21,F23)</f>
        <v>0</v>
      </c>
      <c r="G37" s="186">
        <f>SUM(G3:G6,G15,G21,G23)</f>
        <v>0</v>
      </c>
      <c r="H37" s="186">
        <f>SUM(H3:H6,H15,H21,H23)</f>
        <v>0</v>
      </c>
      <c r="M37" s="188" t="s">
        <v>272</v>
      </c>
      <c r="N37" s="192">
        <f>SUM(N3:N6,N15,N21,N23)</f>
        <v>14562153.090000002</v>
      </c>
      <c r="O37" s="186">
        <f>SUM(O3:O6,O15,O21,O23)</f>
        <v>1006</v>
      </c>
      <c r="P37" s="186">
        <f>SUM(P3:P6,P15,P21,P23)</f>
        <v>758</v>
      </c>
      <c r="Q37" s="186">
        <f>SUM(Q3:Q6,Q15,Q21,Q23)</f>
        <v>624</v>
      </c>
    </row>
    <row r="38" spans="1:19" x14ac:dyDescent="0.2">
      <c r="D38" s="45" t="s">
        <v>99</v>
      </c>
      <c r="E38" s="94">
        <f>E3+E4+E5+E6+E15+E21+E23</f>
        <v>0</v>
      </c>
      <c r="F38" s="121">
        <f>F3+F4+F5+F6+F15+F21+F23</f>
        <v>0</v>
      </c>
      <c r="G38" s="121">
        <f>G3+G4+G5+G6+G15+G21+G23</f>
        <v>0</v>
      </c>
      <c r="H38" s="121">
        <f>H3+H4+H5+H6+H15+H21+H23</f>
        <v>0</v>
      </c>
      <c r="M38" s="45" t="s">
        <v>99</v>
      </c>
      <c r="N38" s="94">
        <f>N3+N4+N5+N6+N15+N21+N23</f>
        <v>14562153.090000002</v>
      </c>
      <c r="O38" s="121">
        <f>O3+O4+O5+O6+O15+O21+O23</f>
        <v>1006</v>
      </c>
      <c r="P38" s="121">
        <f>P3+P4+P5+P6+P15+P21+P23</f>
        <v>758</v>
      </c>
      <c r="Q38" s="121">
        <f>Q3+Q4+Q5+Q6+Q15+Q21+Q23</f>
        <v>624</v>
      </c>
    </row>
    <row r="39" spans="1:19" x14ac:dyDescent="0.2">
      <c r="D39" s="44"/>
      <c r="F39" s="45"/>
      <c r="G39" s="192" t="e">
        <f>SUM(H32)/G32*100</f>
        <v>#DIV/0!</v>
      </c>
      <c r="H39" s="193" t="e">
        <f>SUM(E32)/H32</f>
        <v>#DIV/0!</v>
      </c>
      <c r="P39" s="192">
        <f>SUM(Q32)/P32*100</f>
        <v>79.923761118170262</v>
      </c>
      <c r="Q39" s="193">
        <f>SUM(N32)/Q32</f>
        <v>23225.242750397454</v>
      </c>
    </row>
    <row r="40" spans="1:19" x14ac:dyDescent="0.2">
      <c r="D40" s="44"/>
      <c r="E40" s="196">
        <f>SUM(E3:E21,E23,E25:E31)</f>
        <v>0</v>
      </c>
      <c r="F40" s="200">
        <f>SUM(F3:F21,F23,F25:F31)</f>
        <v>0</v>
      </c>
      <c r="G40" s="200">
        <f>SUM(G3:G21,G23,G25:G31)</f>
        <v>0</v>
      </c>
      <c r="H40" s="200">
        <f>SUM(H3:H21,H23,H25:H31)</f>
        <v>0</v>
      </c>
      <c r="N40" s="196">
        <f>SUM(N3:N21,N23,N25:N31)</f>
        <v>14608677.689999999</v>
      </c>
      <c r="O40" s="200">
        <f>SUM(O3:O21,O23,O25:O31)</f>
        <v>1038</v>
      </c>
      <c r="P40" s="200">
        <f>SUM(P3:P21,P23,P25:P31)</f>
        <v>787</v>
      </c>
      <c r="Q40" s="200">
        <f>SUM(Q3:Q21,Q23,Q25:Q31)</f>
        <v>629</v>
      </c>
    </row>
    <row r="41" spans="1:19" x14ac:dyDescent="0.2">
      <c r="D41" s="44"/>
      <c r="E41" s="191">
        <f>SUM(E2:E31)</f>
        <v>0</v>
      </c>
      <c r="F41" s="121">
        <f>SUM(F2:F31)</f>
        <v>0</v>
      </c>
      <c r="G41" s="121">
        <f>SUM(G2:G31)</f>
        <v>0</v>
      </c>
      <c r="H41" s="121">
        <f>SUM(H2:H31)</f>
        <v>0</v>
      </c>
      <c r="N41" s="191">
        <f>SUM(N2:N31)</f>
        <v>29217355.379999995</v>
      </c>
      <c r="O41" s="121">
        <f>SUM(O2:O31)</f>
        <v>2076</v>
      </c>
      <c r="P41" s="121">
        <f>SUM(P2:P31)</f>
        <v>1574</v>
      </c>
      <c r="Q41" s="121">
        <f>SUM(Q2:Q31)</f>
        <v>1258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Arkusz40">
    <tabColor theme="0"/>
  </sheetPr>
  <dimension ref="A1:S41"/>
  <sheetViews>
    <sheetView zoomScale="80" zoomScaleNormal="80" workbookViewId="0">
      <selection activeCell="J2" sqref="J2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195" t="s">
        <v>22</v>
      </c>
      <c r="B1" s="195" t="s">
        <v>23</v>
      </c>
      <c r="C1" s="195" t="s">
        <v>24</v>
      </c>
      <c r="D1" s="121" t="s">
        <v>25</v>
      </c>
      <c r="E1" s="193" t="s">
        <v>387</v>
      </c>
      <c r="F1" s="191" t="s">
        <v>388</v>
      </c>
      <c r="G1" s="191" t="s">
        <v>389</v>
      </c>
      <c r="H1" s="191" t="s">
        <v>390</v>
      </c>
      <c r="J1" s="195" t="s">
        <v>22</v>
      </c>
      <c r="K1" s="195" t="s">
        <v>23</v>
      </c>
      <c r="L1" s="195" t="s">
        <v>24</v>
      </c>
      <c r="M1" s="121" t="s">
        <v>25</v>
      </c>
      <c r="N1" s="193" t="s">
        <v>387</v>
      </c>
      <c r="O1" s="191" t="s">
        <v>388</v>
      </c>
      <c r="P1" s="191" t="s">
        <v>389</v>
      </c>
      <c r="Q1" s="191" t="s">
        <v>390</v>
      </c>
    </row>
    <row r="2" spans="1:19" ht="15" customHeight="1" x14ac:dyDescent="0.2">
      <c r="A2" s="195"/>
      <c r="B2" s="195"/>
      <c r="C2" s="195"/>
      <c r="D2" s="121"/>
      <c r="E2" s="191"/>
      <c r="F2" s="121"/>
      <c r="G2" s="121"/>
      <c r="H2" s="121"/>
      <c r="J2" s="195" t="s">
        <v>479</v>
      </c>
      <c r="K2" s="195" t="s">
        <v>26</v>
      </c>
      <c r="L2" s="195" t="s">
        <v>428</v>
      </c>
      <c r="M2" s="121" t="s">
        <v>27</v>
      </c>
      <c r="N2" s="196">
        <v>10434319.800000001</v>
      </c>
      <c r="O2" s="200">
        <v>771</v>
      </c>
      <c r="P2" s="200">
        <v>621</v>
      </c>
      <c r="Q2" s="200">
        <v>514</v>
      </c>
      <c r="S2" s="44" t="s">
        <v>395</v>
      </c>
    </row>
    <row r="3" spans="1:19" x14ac:dyDescent="0.2">
      <c r="A3" s="195"/>
      <c r="B3" s="195"/>
      <c r="C3" s="195"/>
      <c r="D3" s="121"/>
      <c r="E3" s="191"/>
      <c r="F3" s="121"/>
      <c r="G3" s="121"/>
      <c r="H3" s="121"/>
      <c r="I3" s="186">
        <v>1</v>
      </c>
      <c r="J3" s="195" t="s">
        <v>479</v>
      </c>
      <c r="K3" s="195" t="s">
        <v>26</v>
      </c>
      <c r="L3" s="195" t="s">
        <v>428</v>
      </c>
      <c r="M3" s="121" t="s">
        <v>28</v>
      </c>
      <c r="N3" s="197">
        <v>3280809.98</v>
      </c>
      <c r="O3" s="198">
        <v>332</v>
      </c>
      <c r="P3" s="198">
        <v>218</v>
      </c>
      <c r="Q3" s="198">
        <v>174</v>
      </c>
      <c r="R3" s="186">
        <v>1</v>
      </c>
      <c r="S3" s="187" t="s">
        <v>396</v>
      </c>
    </row>
    <row r="4" spans="1:19" x14ac:dyDescent="0.2">
      <c r="A4" s="195"/>
      <c r="B4" s="195"/>
      <c r="C4" s="195"/>
      <c r="D4" s="121"/>
      <c r="E4" s="191"/>
      <c r="F4" s="121"/>
      <c r="G4" s="121"/>
      <c r="H4" s="121"/>
      <c r="I4" s="186">
        <v>2</v>
      </c>
      <c r="J4" s="195" t="s">
        <v>479</v>
      </c>
      <c r="K4" s="195" t="s">
        <v>26</v>
      </c>
      <c r="L4" s="195" t="s">
        <v>428</v>
      </c>
      <c r="M4" s="121" t="s">
        <v>29</v>
      </c>
      <c r="N4" s="197">
        <v>287290.07</v>
      </c>
      <c r="O4" s="198">
        <v>29</v>
      </c>
      <c r="P4" s="198">
        <v>24</v>
      </c>
      <c r="Q4" s="198">
        <v>19</v>
      </c>
      <c r="R4" s="186">
        <v>2</v>
      </c>
      <c r="S4" s="187" t="s">
        <v>397</v>
      </c>
    </row>
    <row r="5" spans="1:19" x14ac:dyDescent="0.2">
      <c r="A5" s="195"/>
      <c r="B5" s="195"/>
      <c r="C5" s="195"/>
      <c r="D5" s="121"/>
      <c r="E5" s="191"/>
      <c r="F5" s="121"/>
      <c r="G5" s="121"/>
      <c r="H5" s="121"/>
      <c r="I5" s="186">
        <v>3</v>
      </c>
      <c r="J5" s="195" t="s">
        <v>479</v>
      </c>
      <c r="K5" s="195" t="s">
        <v>26</v>
      </c>
      <c r="L5" s="195" t="s">
        <v>428</v>
      </c>
      <c r="M5" s="121" t="s">
        <v>30</v>
      </c>
      <c r="N5" s="197">
        <v>1315637.8600000001</v>
      </c>
      <c r="O5" s="198">
        <v>172</v>
      </c>
      <c r="P5" s="198">
        <v>106</v>
      </c>
      <c r="Q5" s="198">
        <v>85</v>
      </c>
      <c r="R5" s="186">
        <v>3</v>
      </c>
      <c r="S5" s="187" t="s">
        <v>399</v>
      </c>
    </row>
    <row r="6" spans="1:19" x14ac:dyDescent="0.2">
      <c r="A6" s="195"/>
      <c r="B6" s="195"/>
      <c r="C6" s="195"/>
      <c r="D6" s="121"/>
      <c r="E6" s="191"/>
      <c r="F6" s="121"/>
      <c r="G6" s="121"/>
      <c r="H6" s="121"/>
      <c r="I6" s="186">
        <v>4</v>
      </c>
      <c r="J6" s="195" t="s">
        <v>479</v>
      </c>
      <c r="K6" s="195" t="s">
        <v>26</v>
      </c>
      <c r="L6" s="195" t="s">
        <v>428</v>
      </c>
      <c r="M6" s="121" t="s">
        <v>31</v>
      </c>
      <c r="N6" s="197">
        <v>1283727.1000000001</v>
      </c>
      <c r="O6" s="198">
        <v>73</v>
      </c>
      <c r="P6" s="198">
        <v>53</v>
      </c>
      <c r="Q6" s="198">
        <v>50</v>
      </c>
      <c r="R6" s="186">
        <v>4</v>
      </c>
      <c r="S6" s="187" t="s">
        <v>398</v>
      </c>
    </row>
    <row r="7" spans="1:19" x14ac:dyDescent="0.2">
      <c r="A7" s="195"/>
      <c r="B7" s="195"/>
      <c r="C7" s="195"/>
      <c r="D7" s="121"/>
      <c r="E7" s="191"/>
      <c r="F7" s="121"/>
      <c r="G7" s="121"/>
      <c r="H7" s="121"/>
      <c r="I7" s="189" t="s">
        <v>417</v>
      </c>
      <c r="J7" s="195" t="s">
        <v>479</v>
      </c>
      <c r="K7" s="195" t="s">
        <v>26</v>
      </c>
      <c r="L7" s="195" t="s">
        <v>428</v>
      </c>
      <c r="M7" s="121" t="s">
        <v>32</v>
      </c>
      <c r="N7" s="199">
        <v>4648.2</v>
      </c>
      <c r="O7" s="198">
        <v>2</v>
      </c>
      <c r="P7" s="198">
        <v>2</v>
      </c>
      <c r="Q7" s="198">
        <v>0</v>
      </c>
      <c r="R7" s="189" t="s">
        <v>417</v>
      </c>
      <c r="S7" s="187" t="s">
        <v>400</v>
      </c>
    </row>
    <row r="8" spans="1:19" x14ac:dyDescent="0.2">
      <c r="A8" s="195"/>
      <c r="B8" s="195"/>
      <c r="C8" s="195"/>
      <c r="D8" s="121"/>
      <c r="E8" s="191"/>
      <c r="F8" s="121"/>
      <c r="G8" s="121"/>
      <c r="H8" s="121"/>
      <c r="I8" s="121"/>
      <c r="J8" s="195" t="s">
        <v>479</v>
      </c>
      <c r="K8" s="195" t="s">
        <v>26</v>
      </c>
      <c r="L8" s="195" t="s">
        <v>428</v>
      </c>
      <c r="M8" s="121" t="s">
        <v>33</v>
      </c>
      <c r="N8" s="196">
        <v>0</v>
      </c>
      <c r="O8" s="200">
        <v>0</v>
      </c>
      <c r="P8" s="200">
        <v>0</v>
      </c>
      <c r="Q8" s="200">
        <v>0</v>
      </c>
      <c r="R8" s="121"/>
      <c r="S8" s="44" t="s">
        <v>401</v>
      </c>
    </row>
    <row r="9" spans="1:19" x14ac:dyDescent="0.2">
      <c r="A9" s="195"/>
      <c r="B9" s="195"/>
      <c r="C9" s="195"/>
      <c r="D9" s="121"/>
      <c r="E9" s="191"/>
      <c r="F9" s="121"/>
      <c r="G9" s="121"/>
      <c r="H9" s="121"/>
      <c r="I9" s="121"/>
      <c r="J9" s="195" t="s">
        <v>479</v>
      </c>
      <c r="K9" s="195" t="s">
        <v>26</v>
      </c>
      <c r="L9" s="195" t="s">
        <v>428</v>
      </c>
      <c r="M9" s="121" t="s">
        <v>34</v>
      </c>
      <c r="N9" s="196">
        <v>22707.439999999999</v>
      </c>
      <c r="O9" s="200">
        <v>2</v>
      </c>
      <c r="P9" s="200">
        <v>2</v>
      </c>
      <c r="Q9" s="200">
        <v>1</v>
      </c>
      <c r="R9" s="121"/>
      <c r="S9" s="44" t="s">
        <v>6</v>
      </c>
    </row>
    <row r="10" spans="1:19" ht="15" customHeight="1" x14ac:dyDescent="0.2">
      <c r="A10" s="195"/>
      <c r="B10" s="195"/>
      <c r="C10" s="195"/>
      <c r="D10" s="121"/>
      <c r="E10" s="191"/>
      <c r="F10" s="121"/>
      <c r="G10" s="121"/>
      <c r="H10" s="121"/>
      <c r="I10" s="121"/>
      <c r="J10" s="195" t="s">
        <v>479</v>
      </c>
      <c r="K10" s="195" t="s">
        <v>26</v>
      </c>
      <c r="L10" s="195" t="s">
        <v>428</v>
      </c>
      <c r="M10" s="121" t="s">
        <v>35</v>
      </c>
      <c r="N10" s="196">
        <v>0</v>
      </c>
      <c r="O10" s="200">
        <v>0</v>
      </c>
      <c r="P10" s="200">
        <v>0</v>
      </c>
      <c r="Q10" s="200">
        <v>0</v>
      </c>
      <c r="R10" s="121"/>
      <c r="S10" s="44" t="s">
        <v>402</v>
      </c>
    </row>
    <row r="11" spans="1:19" ht="15" customHeight="1" x14ac:dyDescent="0.2">
      <c r="A11" s="195"/>
      <c r="B11" s="195"/>
      <c r="C11" s="195"/>
      <c r="D11" s="121"/>
      <c r="E11" s="191"/>
      <c r="F11" s="121"/>
      <c r="G11" s="121"/>
      <c r="H11" s="121"/>
      <c r="I11" s="121"/>
      <c r="J11" s="195" t="s">
        <v>479</v>
      </c>
      <c r="K11" s="195" t="s">
        <v>26</v>
      </c>
      <c r="L11" s="195" t="s">
        <v>428</v>
      </c>
      <c r="M11" s="121" t="s">
        <v>36</v>
      </c>
      <c r="N11" s="196">
        <v>0</v>
      </c>
      <c r="O11" s="200">
        <v>0</v>
      </c>
      <c r="P11" s="200">
        <v>0</v>
      </c>
      <c r="Q11" s="200">
        <v>0</v>
      </c>
      <c r="R11" s="121"/>
      <c r="S11" s="44" t="s">
        <v>8</v>
      </c>
    </row>
    <row r="12" spans="1:19" x14ac:dyDescent="0.2">
      <c r="A12" s="195"/>
      <c r="B12" s="195"/>
      <c r="C12" s="195"/>
      <c r="D12" s="121"/>
      <c r="E12" s="191"/>
      <c r="F12" s="121"/>
      <c r="G12" s="121"/>
      <c r="H12" s="121"/>
      <c r="I12" s="121"/>
      <c r="J12" s="195" t="s">
        <v>479</v>
      </c>
      <c r="K12" s="195" t="s">
        <v>26</v>
      </c>
      <c r="L12" s="195" t="s">
        <v>428</v>
      </c>
      <c r="M12" s="121" t="s">
        <v>37</v>
      </c>
      <c r="N12" s="196">
        <v>0</v>
      </c>
      <c r="O12" s="200">
        <v>0</v>
      </c>
      <c r="P12" s="200">
        <v>0</v>
      </c>
      <c r="Q12" s="200">
        <v>0</v>
      </c>
      <c r="R12" s="121"/>
      <c r="S12" s="44" t="s">
        <v>403</v>
      </c>
    </row>
    <row r="13" spans="1:19" x14ac:dyDescent="0.2">
      <c r="A13" s="195"/>
      <c r="B13" s="195"/>
      <c r="C13" s="195"/>
      <c r="D13" s="121"/>
      <c r="E13" s="191"/>
      <c r="F13" s="121"/>
      <c r="G13" s="121"/>
      <c r="H13" s="121"/>
      <c r="I13" s="189" t="s">
        <v>419</v>
      </c>
      <c r="J13" s="195" t="s">
        <v>479</v>
      </c>
      <c r="K13" s="195" t="s">
        <v>26</v>
      </c>
      <c r="L13" s="195" t="s">
        <v>428</v>
      </c>
      <c r="M13" s="121" t="s">
        <v>26</v>
      </c>
      <c r="N13" s="199">
        <v>14888.13</v>
      </c>
      <c r="O13" s="198">
        <v>5</v>
      </c>
      <c r="P13" s="198">
        <v>2</v>
      </c>
      <c r="Q13" s="198">
        <v>2</v>
      </c>
      <c r="R13" s="189" t="s">
        <v>419</v>
      </c>
      <c r="S13" s="187" t="s">
        <v>9</v>
      </c>
    </row>
    <row r="14" spans="1:19" ht="15" customHeight="1" x14ac:dyDescent="0.2">
      <c r="A14" s="195"/>
      <c r="B14" s="195"/>
      <c r="C14" s="195"/>
      <c r="D14" s="121"/>
      <c r="E14" s="191"/>
      <c r="F14" s="121"/>
      <c r="G14" s="121"/>
      <c r="H14" s="121"/>
      <c r="I14" s="121"/>
      <c r="J14" s="195" t="s">
        <v>479</v>
      </c>
      <c r="K14" s="195" t="s">
        <v>26</v>
      </c>
      <c r="L14" s="195" t="s">
        <v>428</v>
      </c>
      <c r="M14" s="121" t="s">
        <v>38</v>
      </c>
      <c r="N14" s="196">
        <v>322849.52</v>
      </c>
      <c r="O14" s="200">
        <v>32</v>
      </c>
      <c r="P14" s="200">
        <v>20</v>
      </c>
      <c r="Q14" s="200">
        <v>18</v>
      </c>
      <c r="R14" s="121"/>
      <c r="S14" s="44" t="s">
        <v>404</v>
      </c>
    </row>
    <row r="15" spans="1:19" ht="15" customHeight="1" x14ac:dyDescent="0.2">
      <c r="A15" s="195"/>
      <c r="B15" s="195"/>
      <c r="C15" s="195"/>
      <c r="D15" s="121"/>
      <c r="E15" s="191"/>
      <c r="F15" s="121"/>
      <c r="G15" s="121"/>
      <c r="H15" s="121"/>
      <c r="I15" s="189" t="s">
        <v>51</v>
      </c>
      <c r="J15" s="195" t="s">
        <v>479</v>
      </c>
      <c r="K15" s="195" t="s">
        <v>26</v>
      </c>
      <c r="L15" s="195" t="s">
        <v>428</v>
      </c>
      <c r="M15" s="121" t="s">
        <v>39</v>
      </c>
      <c r="N15" s="199">
        <v>80000</v>
      </c>
      <c r="O15" s="198">
        <v>8</v>
      </c>
      <c r="P15" s="198">
        <v>13</v>
      </c>
      <c r="Q15" s="198">
        <v>12</v>
      </c>
      <c r="R15" s="189" t="s">
        <v>51</v>
      </c>
      <c r="S15" s="187" t="s">
        <v>11</v>
      </c>
    </row>
    <row r="16" spans="1:19" x14ac:dyDescent="0.2">
      <c r="A16" s="195"/>
      <c r="B16" s="195"/>
      <c r="C16" s="195"/>
      <c r="D16" s="121"/>
      <c r="E16" s="191"/>
      <c r="F16" s="121"/>
      <c r="G16" s="121"/>
      <c r="H16" s="121"/>
      <c r="I16" s="189" t="s">
        <v>418</v>
      </c>
      <c r="J16" s="195" t="s">
        <v>479</v>
      </c>
      <c r="K16" s="195" t="s">
        <v>26</v>
      </c>
      <c r="L16" s="195" t="s">
        <v>428</v>
      </c>
      <c r="M16" s="121" t="s">
        <v>40</v>
      </c>
      <c r="N16" s="199">
        <v>337033.16</v>
      </c>
      <c r="O16" s="198">
        <v>26</v>
      </c>
      <c r="P16" s="198">
        <v>10</v>
      </c>
      <c r="Q16" s="198">
        <v>10</v>
      </c>
      <c r="R16" s="189" t="s">
        <v>418</v>
      </c>
      <c r="S16" s="187" t="s">
        <v>405</v>
      </c>
    </row>
    <row r="17" spans="1:19" x14ac:dyDescent="0.2">
      <c r="A17" s="195"/>
      <c r="B17" s="195"/>
      <c r="C17" s="195"/>
      <c r="D17" s="121"/>
      <c r="E17" s="191"/>
      <c r="F17" s="121"/>
      <c r="G17" s="121"/>
      <c r="H17" s="121"/>
      <c r="I17" s="121"/>
      <c r="J17" s="195" t="s">
        <v>479</v>
      </c>
      <c r="K17" s="195" t="s">
        <v>26</v>
      </c>
      <c r="L17" s="195" t="s">
        <v>428</v>
      </c>
      <c r="M17" s="121" t="s">
        <v>41</v>
      </c>
      <c r="N17" s="196">
        <v>0</v>
      </c>
      <c r="O17" s="200">
        <v>0</v>
      </c>
      <c r="P17" s="200">
        <v>0</v>
      </c>
      <c r="Q17" s="200">
        <v>0</v>
      </c>
      <c r="R17" s="121"/>
      <c r="S17" s="44" t="s">
        <v>406</v>
      </c>
    </row>
    <row r="18" spans="1:19" ht="15" customHeight="1" x14ac:dyDescent="0.2">
      <c r="A18" s="195"/>
      <c r="B18" s="195"/>
      <c r="C18" s="195"/>
      <c r="D18" s="121"/>
      <c r="E18" s="191"/>
      <c r="F18" s="121"/>
      <c r="G18" s="121"/>
      <c r="H18" s="121"/>
      <c r="I18" s="189" t="s">
        <v>420</v>
      </c>
      <c r="J18" s="195" t="s">
        <v>479</v>
      </c>
      <c r="K18" s="195" t="s">
        <v>26</v>
      </c>
      <c r="L18" s="195" t="s">
        <v>428</v>
      </c>
      <c r="M18" s="121" t="s">
        <v>42</v>
      </c>
      <c r="N18" s="199">
        <v>0</v>
      </c>
      <c r="O18" s="198">
        <v>0</v>
      </c>
      <c r="P18" s="198">
        <v>0</v>
      </c>
      <c r="Q18" s="198">
        <v>0</v>
      </c>
      <c r="R18" s="189" t="s">
        <v>420</v>
      </c>
      <c r="S18" s="187" t="s">
        <v>376</v>
      </c>
    </row>
    <row r="19" spans="1:19" ht="15" customHeight="1" x14ac:dyDescent="0.2">
      <c r="A19" s="195"/>
      <c r="B19" s="195"/>
      <c r="C19" s="195"/>
      <c r="D19" s="121"/>
      <c r="E19" s="191"/>
      <c r="F19" s="121"/>
      <c r="G19" s="121"/>
      <c r="H19" s="121"/>
      <c r="I19" s="189" t="s">
        <v>416</v>
      </c>
      <c r="J19" s="195" t="s">
        <v>479</v>
      </c>
      <c r="K19" s="195" t="s">
        <v>26</v>
      </c>
      <c r="L19" s="195" t="s">
        <v>428</v>
      </c>
      <c r="M19" s="121" t="s">
        <v>43</v>
      </c>
      <c r="N19" s="199">
        <v>46875.86</v>
      </c>
      <c r="O19" s="198">
        <v>6</v>
      </c>
      <c r="P19" s="198">
        <v>6</v>
      </c>
      <c r="Q19" s="198">
        <v>0</v>
      </c>
      <c r="R19" s="189" t="s">
        <v>416</v>
      </c>
      <c r="S19" s="187" t="s">
        <v>377</v>
      </c>
    </row>
    <row r="20" spans="1:19" x14ac:dyDescent="0.2">
      <c r="A20" s="195"/>
      <c r="B20" s="195"/>
      <c r="C20" s="195"/>
      <c r="D20" s="121"/>
      <c r="E20" s="191"/>
      <c r="F20" s="121"/>
      <c r="G20" s="121"/>
      <c r="H20" s="121"/>
      <c r="I20" s="121"/>
      <c r="J20" s="195" t="s">
        <v>479</v>
      </c>
      <c r="K20" s="195" t="s">
        <v>26</v>
      </c>
      <c r="L20" s="195" t="s">
        <v>428</v>
      </c>
      <c r="M20" s="121" t="s">
        <v>44</v>
      </c>
      <c r="N20" s="196">
        <v>0</v>
      </c>
      <c r="O20" s="200">
        <v>0</v>
      </c>
      <c r="P20" s="200">
        <v>0</v>
      </c>
      <c r="Q20" s="200">
        <v>0</v>
      </c>
      <c r="R20" s="121"/>
      <c r="S20" s="44" t="s">
        <v>15</v>
      </c>
    </row>
    <row r="21" spans="1:19" x14ac:dyDescent="0.2">
      <c r="A21" s="195"/>
      <c r="B21" s="195"/>
      <c r="C21" s="195"/>
      <c r="D21" s="121"/>
      <c r="E21" s="191"/>
      <c r="F21" s="121"/>
      <c r="G21" s="121"/>
      <c r="H21" s="121"/>
      <c r="I21" s="186">
        <v>6</v>
      </c>
      <c r="J21" s="195" t="s">
        <v>479</v>
      </c>
      <c r="K21" s="195" t="s">
        <v>26</v>
      </c>
      <c r="L21" s="195" t="s">
        <v>428</v>
      </c>
      <c r="M21" s="121" t="s">
        <v>45</v>
      </c>
      <c r="N21" s="197">
        <v>2090184.11</v>
      </c>
      <c r="O21" s="198">
        <v>50</v>
      </c>
      <c r="P21" s="198">
        <v>66</v>
      </c>
      <c r="Q21" s="198">
        <v>64</v>
      </c>
      <c r="R21" s="186">
        <v>6</v>
      </c>
      <c r="S21" s="187" t="s">
        <v>16</v>
      </c>
    </row>
    <row r="22" spans="1:19" x14ac:dyDescent="0.2">
      <c r="A22" s="195"/>
      <c r="B22" s="195"/>
      <c r="C22" s="195"/>
      <c r="D22" s="121"/>
      <c r="E22" s="191"/>
      <c r="F22" s="121"/>
      <c r="G22" s="121"/>
      <c r="H22" s="121"/>
      <c r="I22" s="121"/>
      <c r="J22" s="195" t="s">
        <v>479</v>
      </c>
      <c r="K22" s="195" t="s">
        <v>26</v>
      </c>
      <c r="L22" s="195" t="s">
        <v>428</v>
      </c>
      <c r="M22" s="121" t="s">
        <v>46</v>
      </c>
      <c r="N22" s="196">
        <v>0</v>
      </c>
      <c r="O22" s="200">
        <v>0</v>
      </c>
      <c r="P22" s="200">
        <v>0</v>
      </c>
      <c r="Q22" s="200">
        <v>0</v>
      </c>
      <c r="R22" s="121"/>
      <c r="S22" s="44" t="s">
        <v>407</v>
      </c>
    </row>
    <row r="23" spans="1:19" ht="15" customHeight="1" x14ac:dyDescent="0.2">
      <c r="A23" s="195"/>
      <c r="B23" s="195"/>
      <c r="C23" s="195"/>
      <c r="D23" s="121"/>
      <c r="E23" s="191"/>
      <c r="F23" s="121"/>
      <c r="G23" s="121"/>
      <c r="H23" s="121"/>
      <c r="I23" s="186">
        <v>5</v>
      </c>
      <c r="J23" s="195" t="s">
        <v>479</v>
      </c>
      <c r="K23" s="195" t="s">
        <v>26</v>
      </c>
      <c r="L23" s="195" t="s">
        <v>428</v>
      </c>
      <c r="M23" s="121" t="s">
        <v>47</v>
      </c>
      <c r="N23" s="197">
        <v>1246578</v>
      </c>
      <c r="O23" s="198">
        <v>29</v>
      </c>
      <c r="P23" s="198">
        <v>97</v>
      </c>
      <c r="Q23" s="198">
        <v>77</v>
      </c>
      <c r="R23" s="186">
        <v>5</v>
      </c>
      <c r="S23" s="187" t="s">
        <v>17</v>
      </c>
    </row>
    <row r="24" spans="1:19" ht="15" customHeight="1" x14ac:dyDescent="0.2">
      <c r="A24" s="195"/>
      <c r="B24" s="195"/>
      <c r="C24" s="195"/>
      <c r="D24" s="121"/>
      <c r="E24" s="191"/>
      <c r="F24" s="121"/>
      <c r="G24" s="121"/>
      <c r="H24" s="121"/>
      <c r="I24" s="45"/>
      <c r="J24" s="195" t="s">
        <v>479</v>
      </c>
      <c r="K24" s="195" t="s">
        <v>26</v>
      </c>
      <c r="L24" s="195" t="s">
        <v>428</v>
      </c>
      <c r="M24" s="121" t="s">
        <v>48</v>
      </c>
      <c r="N24" s="196">
        <v>0</v>
      </c>
      <c r="O24" s="200">
        <v>0</v>
      </c>
      <c r="P24" s="200">
        <v>0</v>
      </c>
      <c r="Q24" s="200">
        <v>0</v>
      </c>
      <c r="S24" s="44" t="s">
        <v>407</v>
      </c>
    </row>
    <row r="25" spans="1:19" ht="15" customHeight="1" x14ac:dyDescent="0.2">
      <c r="A25" s="195"/>
      <c r="B25" s="195"/>
      <c r="C25" s="195"/>
      <c r="D25" s="121"/>
      <c r="E25" s="191"/>
      <c r="F25" s="121"/>
      <c r="G25" s="121"/>
      <c r="H25" s="121"/>
      <c r="I25" s="45"/>
      <c r="J25" s="195" t="s">
        <v>479</v>
      </c>
      <c r="K25" s="195" t="s">
        <v>26</v>
      </c>
      <c r="L25" s="195" t="s">
        <v>428</v>
      </c>
      <c r="M25" s="121" t="s">
        <v>319</v>
      </c>
      <c r="N25" s="196">
        <v>0</v>
      </c>
      <c r="O25" s="200">
        <v>0</v>
      </c>
      <c r="P25" s="200">
        <v>0</v>
      </c>
      <c r="Q25" s="200">
        <v>0</v>
      </c>
      <c r="S25" s="44" t="s">
        <v>18</v>
      </c>
    </row>
    <row r="26" spans="1:19" ht="15" customHeight="1" x14ac:dyDescent="0.2">
      <c r="A26" s="195"/>
      <c r="B26" s="195"/>
      <c r="C26" s="195"/>
      <c r="D26" s="121"/>
      <c r="E26" s="191"/>
      <c r="F26" s="121"/>
      <c r="G26" s="121"/>
      <c r="H26" s="121"/>
      <c r="I26" s="190" t="s">
        <v>421</v>
      </c>
      <c r="J26" s="195" t="s">
        <v>479</v>
      </c>
      <c r="K26" s="195" t="s">
        <v>26</v>
      </c>
      <c r="L26" s="195" t="s">
        <v>428</v>
      </c>
      <c r="M26" s="121" t="s">
        <v>320</v>
      </c>
      <c r="N26" s="199">
        <v>0</v>
      </c>
      <c r="O26" s="198">
        <v>0</v>
      </c>
      <c r="P26" s="198">
        <v>0</v>
      </c>
      <c r="Q26" s="198">
        <v>0</v>
      </c>
      <c r="R26" s="190" t="s">
        <v>421</v>
      </c>
      <c r="S26" s="187" t="s">
        <v>358</v>
      </c>
    </row>
    <row r="27" spans="1:19" x14ac:dyDescent="0.2">
      <c r="A27" s="195"/>
      <c r="B27" s="195"/>
      <c r="C27" s="195"/>
      <c r="D27" s="121"/>
      <c r="E27" s="191"/>
      <c r="F27" s="121"/>
      <c r="G27" s="121"/>
      <c r="H27" s="121"/>
      <c r="I27" s="190" t="s">
        <v>415</v>
      </c>
      <c r="J27" s="195" t="s">
        <v>479</v>
      </c>
      <c r="K27" s="195" t="s">
        <v>26</v>
      </c>
      <c r="L27" s="195" t="s">
        <v>428</v>
      </c>
      <c r="M27" s="121" t="s">
        <v>321</v>
      </c>
      <c r="N27" s="199">
        <v>101090.37</v>
      </c>
      <c r="O27" s="198">
        <v>5</v>
      </c>
      <c r="P27" s="198">
        <v>2</v>
      </c>
      <c r="Q27" s="198">
        <v>2</v>
      </c>
      <c r="R27" s="190" t="s">
        <v>415</v>
      </c>
      <c r="S27" s="187" t="s">
        <v>408</v>
      </c>
    </row>
    <row r="28" spans="1:19" x14ac:dyDescent="0.2">
      <c r="A28" s="195"/>
      <c r="B28" s="195"/>
      <c r="C28" s="195"/>
      <c r="D28" s="121"/>
      <c r="E28" s="191"/>
      <c r="F28" s="121"/>
      <c r="G28" s="121"/>
      <c r="H28" s="121"/>
      <c r="J28" s="195" t="s">
        <v>479</v>
      </c>
      <c r="K28" s="195" t="s">
        <v>26</v>
      </c>
      <c r="L28" s="195" t="s">
        <v>428</v>
      </c>
      <c r="M28" s="121" t="s">
        <v>322</v>
      </c>
      <c r="N28" s="196">
        <v>0</v>
      </c>
      <c r="O28" s="200">
        <v>0</v>
      </c>
      <c r="P28" s="200">
        <v>0</v>
      </c>
      <c r="Q28" s="200">
        <v>0</v>
      </c>
      <c r="S28" s="44" t="s">
        <v>215</v>
      </c>
    </row>
    <row r="29" spans="1:19" x14ac:dyDescent="0.2">
      <c r="A29" s="195"/>
      <c r="B29" s="195"/>
      <c r="C29" s="195"/>
      <c r="D29" s="121"/>
      <c r="E29" s="191"/>
      <c r="F29" s="121"/>
      <c r="G29" s="121"/>
      <c r="H29" s="121"/>
      <c r="J29" s="195" t="s">
        <v>479</v>
      </c>
      <c r="K29" s="195" t="s">
        <v>26</v>
      </c>
      <c r="L29" s="195" t="s">
        <v>428</v>
      </c>
      <c r="M29" s="121" t="s">
        <v>391</v>
      </c>
      <c r="N29" s="196">
        <v>0</v>
      </c>
      <c r="O29" s="200">
        <v>0</v>
      </c>
      <c r="P29" s="200">
        <v>0</v>
      </c>
      <c r="Q29" s="200">
        <v>0</v>
      </c>
      <c r="S29" s="44" t="s">
        <v>409</v>
      </c>
    </row>
    <row r="30" spans="1:19" ht="15" customHeight="1" x14ac:dyDescent="0.2">
      <c r="A30" s="195"/>
      <c r="B30" s="195"/>
      <c r="C30" s="195"/>
      <c r="D30" s="121"/>
      <c r="E30" s="191"/>
      <c r="F30" s="121"/>
      <c r="G30" s="121"/>
      <c r="H30" s="121"/>
      <c r="J30" s="195" t="s">
        <v>479</v>
      </c>
      <c r="K30" s="195" t="s">
        <v>26</v>
      </c>
      <c r="L30" s="195" t="s">
        <v>428</v>
      </c>
      <c r="M30" s="121" t="s">
        <v>392</v>
      </c>
      <c r="N30" s="196">
        <v>0</v>
      </c>
      <c r="O30" s="200">
        <v>0</v>
      </c>
      <c r="P30" s="200">
        <v>0</v>
      </c>
      <c r="Q30" s="200">
        <v>0</v>
      </c>
      <c r="S30" s="44" t="s">
        <v>410</v>
      </c>
    </row>
    <row r="31" spans="1:19" x14ac:dyDescent="0.2">
      <c r="A31" s="195"/>
      <c r="B31" s="195"/>
      <c r="C31" s="195"/>
      <c r="D31" s="121"/>
      <c r="E31" s="191"/>
      <c r="F31" s="121"/>
      <c r="G31" s="121"/>
      <c r="H31" s="121"/>
      <c r="J31" s="195" t="s">
        <v>479</v>
      </c>
      <c r="K31" s="195" t="s">
        <v>26</v>
      </c>
      <c r="L31" s="195" t="s">
        <v>428</v>
      </c>
      <c r="M31" s="121" t="s">
        <v>393</v>
      </c>
      <c r="N31" s="196">
        <v>0</v>
      </c>
      <c r="O31" s="200">
        <v>0</v>
      </c>
      <c r="P31" s="200">
        <v>0</v>
      </c>
      <c r="Q31" s="200">
        <v>0</v>
      </c>
      <c r="S31" s="44" t="s">
        <v>411</v>
      </c>
    </row>
    <row r="32" spans="1:19" x14ac:dyDescent="0.2">
      <c r="A32" s="195"/>
      <c r="B32" s="195"/>
      <c r="C32" s="195"/>
      <c r="D32" s="201"/>
      <c r="E32" s="202"/>
      <c r="F32" s="201"/>
      <c r="G32" s="201"/>
      <c r="H32" s="201"/>
      <c r="J32" s="195" t="s">
        <v>479</v>
      </c>
      <c r="K32" s="195" t="s">
        <v>26</v>
      </c>
      <c r="L32" s="195" t="s">
        <v>428</v>
      </c>
      <c r="M32" s="201" t="s">
        <v>394</v>
      </c>
      <c r="N32" s="203">
        <v>20868639.600000001</v>
      </c>
      <c r="O32" s="204">
        <v>1542</v>
      </c>
      <c r="P32" s="204">
        <v>1242</v>
      </c>
      <c r="Q32" s="204">
        <v>1028</v>
      </c>
      <c r="S32" s="185" t="s">
        <v>412</v>
      </c>
    </row>
    <row r="33" spans="1:19" x14ac:dyDescent="0.2">
      <c r="A33" s="195"/>
      <c r="B33" s="195"/>
      <c r="C33" s="195"/>
      <c r="D33" s="121"/>
      <c r="E33" s="191"/>
      <c r="F33" s="121"/>
      <c r="G33" s="121"/>
      <c r="H33" s="121"/>
      <c r="J33" s="195" t="s">
        <v>479</v>
      </c>
      <c r="K33" s="195" t="s">
        <v>26</v>
      </c>
      <c r="L33" s="195" t="s">
        <v>428</v>
      </c>
      <c r="M33" s="121" t="s">
        <v>49</v>
      </c>
      <c r="N33" s="196">
        <v>480</v>
      </c>
      <c r="O33" s="200">
        <v>0</v>
      </c>
      <c r="P33" s="200">
        <v>0</v>
      </c>
      <c r="Q33" s="200">
        <v>0</v>
      </c>
      <c r="S33" s="44" t="s">
        <v>413</v>
      </c>
    </row>
    <row r="34" spans="1:19" x14ac:dyDescent="0.2">
      <c r="A34" s="195"/>
      <c r="B34" s="195"/>
      <c r="C34" s="195"/>
      <c r="D34" s="121"/>
      <c r="E34" s="191"/>
      <c r="F34" s="121"/>
      <c r="G34" s="121"/>
      <c r="H34" s="121"/>
      <c r="J34" s="195" t="s">
        <v>479</v>
      </c>
      <c r="K34" s="195" t="s">
        <v>26</v>
      </c>
      <c r="L34" s="195" t="s">
        <v>428</v>
      </c>
      <c r="M34" s="121" t="s">
        <v>50</v>
      </c>
      <c r="N34" s="196">
        <v>120</v>
      </c>
      <c r="O34" s="200">
        <v>0</v>
      </c>
      <c r="P34" s="200">
        <v>0</v>
      </c>
      <c r="Q34" s="200">
        <v>0</v>
      </c>
      <c r="S34" s="44" t="s">
        <v>414</v>
      </c>
    </row>
    <row r="35" spans="1:19" x14ac:dyDescent="0.2">
      <c r="D35" s="188" t="s">
        <v>89</v>
      </c>
      <c r="E35" s="192">
        <f>SUM(E3:E6,E21,E23)</f>
        <v>0</v>
      </c>
      <c r="F35" s="186">
        <f>SUM(F3:F6,F21,F23)</f>
        <v>0</v>
      </c>
      <c r="G35" s="186">
        <f>SUM(G3:G6,G21,G23)</f>
        <v>0</v>
      </c>
      <c r="H35" s="186">
        <f>SUM(H3:H6,H21,H23)</f>
        <v>0</v>
      </c>
      <c r="M35" s="188" t="s">
        <v>89</v>
      </c>
      <c r="N35" s="192">
        <f>SUM(N3:N6,N21,N23)</f>
        <v>9504227.120000001</v>
      </c>
      <c r="O35" s="186">
        <f>SUM(O3:O6,O21,O23)</f>
        <v>685</v>
      </c>
      <c r="P35" s="186">
        <f>SUM(P3:P6,P21,P23)</f>
        <v>564</v>
      </c>
      <c r="Q35" s="186">
        <f>SUM(Q3:Q6,Q21,Q23)</f>
        <v>469</v>
      </c>
    </row>
    <row r="36" spans="1:19" x14ac:dyDescent="0.2">
      <c r="D36" s="45" t="s">
        <v>99</v>
      </c>
      <c r="E36" s="94">
        <f>E3+E4+E5+E6+E21+E23</f>
        <v>0</v>
      </c>
      <c r="F36" s="121">
        <f>F3+F4+F5+F6+F21+F23</f>
        <v>0</v>
      </c>
      <c r="G36" s="121">
        <f>G3+G4+G5+G6+G21+G23</f>
        <v>0</v>
      </c>
      <c r="H36" s="121">
        <f>H3+H4+H5+H6+H21+H23</f>
        <v>0</v>
      </c>
      <c r="M36" s="45" t="s">
        <v>99</v>
      </c>
      <c r="N36" s="94">
        <f>N3+N4+N5+N6+N21+N23</f>
        <v>9504227.120000001</v>
      </c>
      <c r="O36" s="121">
        <f>O3+O4+O5+O6+O21+O23</f>
        <v>685</v>
      </c>
      <c r="P36" s="121">
        <f>P3+P4+P5+P6+P21+P23</f>
        <v>564</v>
      </c>
      <c r="Q36" s="121">
        <f>Q3+Q4+Q5+Q6+Q21+Q23</f>
        <v>469</v>
      </c>
    </row>
    <row r="37" spans="1:19" x14ac:dyDescent="0.2">
      <c r="D37" s="188" t="s">
        <v>272</v>
      </c>
      <c r="E37" s="192">
        <f>SUM(E3:E6,E15,E21,E23)</f>
        <v>0</v>
      </c>
      <c r="F37" s="186">
        <f>SUM(F3:F6,F15,F21,F23)</f>
        <v>0</v>
      </c>
      <c r="G37" s="186">
        <f>SUM(G3:G6,G15,G21,G23)</f>
        <v>0</v>
      </c>
      <c r="H37" s="186">
        <f>SUM(H3:H6,H15,H21,H23)</f>
        <v>0</v>
      </c>
      <c r="M37" s="188" t="s">
        <v>272</v>
      </c>
      <c r="N37" s="192">
        <f>SUM(N3:N6,N15,N21,N23)</f>
        <v>9584227.120000001</v>
      </c>
      <c r="O37" s="186">
        <f>SUM(O3:O6,O15,O21,O23)</f>
        <v>693</v>
      </c>
      <c r="P37" s="186">
        <f>SUM(P3:P6,P15,P21,P23)</f>
        <v>577</v>
      </c>
      <c r="Q37" s="186">
        <f>SUM(Q3:Q6,Q15,Q21,Q23)</f>
        <v>481</v>
      </c>
    </row>
    <row r="38" spans="1:19" x14ac:dyDescent="0.2">
      <c r="D38" s="45" t="s">
        <v>99</v>
      </c>
      <c r="E38" s="94">
        <f>E3+E4+E5+E6+E15+E21+E23</f>
        <v>0</v>
      </c>
      <c r="F38" s="121">
        <f>F3+F4+F5+F6+F15+F21+F23</f>
        <v>0</v>
      </c>
      <c r="G38" s="121">
        <f>G3+G4+G5+G6+G15+G21+G23</f>
        <v>0</v>
      </c>
      <c r="H38" s="121">
        <f>H3+H4+H5+H6+H15+H21+H23</f>
        <v>0</v>
      </c>
      <c r="M38" s="45" t="s">
        <v>99</v>
      </c>
      <c r="N38" s="94">
        <f>N3+N4+N5+N6+N15+N21+N23</f>
        <v>9584227.120000001</v>
      </c>
      <c r="O38" s="121">
        <f>O3+O4+O5+O6+O15+O21+O23</f>
        <v>693</v>
      </c>
      <c r="P38" s="121">
        <f>P3+P4+P5+P6+P15+P21+P23</f>
        <v>577</v>
      </c>
      <c r="Q38" s="121">
        <f>Q3+Q4+Q5+Q6+Q15+Q21+Q23</f>
        <v>481</v>
      </c>
    </row>
    <row r="39" spans="1:19" x14ac:dyDescent="0.2">
      <c r="D39" s="44"/>
      <c r="F39" s="45"/>
      <c r="G39" s="192" t="e">
        <f>SUM(H32)/G32*100</f>
        <v>#DIV/0!</v>
      </c>
      <c r="H39" s="193" t="e">
        <f>SUM(E32)/H32</f>
        <v>#DIV/0!</v>
      </c>
      <c r="P39" s="192">
        <f>SUM(Q32)/P32*100</f>
        <v>82.769726247987123</v>
      </c>
      <c r="Q39" s="193">
        <f>SUM(N32)/Q32</f>
        <v>20300.233073929961</v>
      </c>
    </row>
    <row r="40" spans="1:19" x14ac:dyDescent="0.2">
      <c r="D40" s="44"/>
      <c r="E40" s="196">
        <f>SUM(E3:E21,E23,E25:E31)</f>
        <v>0</v>
      </c>
      <c r="F40" s="200">
        <f>SUM(F3:F21,F23,F25:F31)</f>
        <v>0</v>
      </c>
      <c r="G40" s="200">
        <f>SUM(G3:G21,G23,G25:G31)</f>
        <v>0</v>
      </c>
      <c r="H40" s="200">
        <f>SUM(H3:H21,H23,H25:H31)</f>
        <v>0</v>
      </c>
      <c r="N40" s="196">
        <f>SUM(N3:N21,N23,N25:N31)</f>
        <v>10434319.800000001</v>
      </c>
      <c r="O40" s="200">
        <f>SUM(O3:O21,O23,O25:O31)</f>
        <v>771</v>
      </c>
      <c r="P40" s="200">
        <f>SUM(P3:P21,P23,P25:P31)</f>
        <v>621</v>
      </c>
      <c r="Q40" s="200">
        <f>SUM(Q3:Q21,Q23,Q25:Q31)</f>
        <v>514</v>
      </c>
    </row>
    <row r="41" spans="1:19" x14ac:dyDescent="0.2">
      <c r="D41" s="44"/>
      <c r="E41" s="191">
        <f>SUM(E2:E31)</f>
        <v>0</v>
      </c>
      <c r="F41" s="121">
        <f>SUM(F2:F31)</f>
        <v>0</v>
      </c>
      <c r="G41" s="121">
        <f>SUM(G2:G31)</f>
        <v>0</v>
      </c>
      <c r="H41" s="121">
        <f>SUM(H2:H31)</f>
        <v>0</v>
      </c>
      <c r="N41" s="191">
        <f>SUM(N2:N31)</f>
        <v>20868639.600000001</v>
      </c>
      <c r="O41" s="121">
        <f>SUM(O2:O31)</f>
        <v>1542</v>
      </c>
      <c r="P41" s="121">
        <f>SUM(P2:P31)</f>
        <v>1242</v>
      </c>
      <c r="Q41" s="121">
        <f>SUM(Q2:Q31)</f>
        <v>1028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Arkusz49">
    <tabColor theme="4" tint="0.59999389629810485"/>
  </sheetPr>
  <dimension ref="A1"/>
  <sheetViews>
    <sheetView zoomScale="80" zoomScaleNormal="80" workbookViewId="0"/>
  </sheetViews>
  <sheetFormatPr defaultRowHeight="15" x14ac:dyDescent="0.25"/>
  <cols>
    <col min="1" max="16384" width="9.140625" style="133"/>
  </cols>
  <sheetData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Arkusz42">
    <tabColor theme="0"/>
  </sheetPr>
  <dimension ref="A1:S41"/>
  <sheetViews>
    <sheetView zoomScale="80" zoomScaleNormal="80" workbookViewId="0">
      <selection activeCell="J2" sqref="J2:Q34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195" t="s">
        <v>22</v>
      </c>
      <c r="B1" s="195" t="s">
        <v>23</v>
      </c>
      <c r="C1" s="195" t="s">
        <v>24</v>
      </c>
      <c r="D1" s="121" t="s">
        <v>25</v>
      </c>
      <c r="E1" s="193" t="s">
        <v>387</v>
      </c>
      <c r="F1" s="191" t="s">
        <v>388</v>
      </c>
      <c r="G1" s="191" t="s">
        <v>389</v>
      </c>
      <c r="H1" s="191" t="s">
        <v>390</v>
      </c>
      <c r="J1" s="195" t="s">
        <v>22</v>
      </c>
      <c r="K1" s="195" t="s">
        <v>23</v>
      </c>
      <c r="L1" s="195" t="s">
        <v>24</v>
      </c>
      <c r="M1" s="121" t="s">
        <v>25</v>
      </c>
      <c r="N1" s="193" t="s">
        <v>387</v>
      </c>
      <c r="O1" s="191" t="s">
        <v>388</v>
      </c>
      <c r="P1" s="191" t="s">
        <v>389</v>
      </c>
      <c r="Q1" s="191" t="s">
        <v>390</v>
      </c>
    </row>
    <row r="2" spans="1:19" ht="15" customHeight="1" x14ac:dyDescent="0.2">
      <c r="A2" s="195"/>
      <c r="B2" s="195"/>
      <c r="C2" s="195"/>
      <c r="D2" s="121"/>
      <c r="E2" s="191"/>
      <c r="F2" s="121"/>
      <c r="G2" s="121"/>
      <c r="H2" s="121"/>
      <c r="J2" s="195" t="s">
        <v>479</v>
      </c>
      <c r="K2" s="195" t="s">
        <v>26</v>
      </c>
      <c r="L2" s="195" t="s">
        <v>427</v>
      </c>
      <c r="M2" s="121" t="s">
        <v>27</v>
      </c>
      <c r="N2" s="196">
        <v>10636664.49</v>
      </c>
      <c r="O2" s="200">
        <v>810</v>
      </c>
      <c r="P2" s="200">
        <v>634</v>
      </c>
      <c r="Q2" s="200">
        <v>544</v>
      </c>
      <c r="S2" s="44" t="s">
        <v>395</v>
      </c>
    </row>
    <row r="3" spans="1:19" x14ac:dyDescent="0.2">
      <c r="A3" s="195"/>
      <c r="B3" s="195"/>
      <c r="C3" s="195"/>
      <c r="D3" s="121"/>
      <c r="E3" s="191"/>
      <c r="F3" s="121"/>
      <c r="G3" s="121"/>
      <c r="H3" s="121"/>
      <c r="I3" s="186">
        <v>1</v>
      </c>
      <c r="J3" s="195" t="s">
        <v>479</v>
      </c>
      <c r="K3" s="195" t="s">
        <v>26</v>
      </c>
      <c r="L3" s="195" t="s">
        <v>427</v>
      </c>
      <c r="M3" s="121" t="s">
        <v>28</v>
      </c>
      <c r="N3" s="197">
        <v>1938320.59</v>
      </c>
      <c r="O3" s="198">
        <v>207</v>
      </c>
      <c r="P3" s="198">
        <v>113</v>
      </c>
      <c r="Q3" s="198">
        <v>90</v>
      </c>
      <c r="R3" s="186">
        <v>1</v>
      </c>
      <c r="S3" s="187" t="s">
        <v>396</v>
      </c>
    </row>
    <row r="4" spans="1:19" x14ac:dyDescent="0.2">
      <c r="A4" s="195"/>
      <c r="B4" s="195"/>
      <c r="C4" s="195"/>
      <c r="D4" s="121"/>
      <c r="E4" s="191"/>
      <c r="F4" s="121"/>
      <c r="G4" s="121"/>
      <c r="H4" s="121"/>
      <c r="I4" s="186">
        <v>2</v>
      </c>
      <c r="J4" s="195" t="s">
        <v>479</v>
      </c>
      <c r="K4" s="195" t="s">
        <v>26</v>
      </c>
      <c r="L4" s="195" t="s">
        <v>427</v>
      </c>
      <c r="M4" s="121" t="s">
        <v>29</v>
      </c>
      <c r="N4" s="197">
        <v>621042.1</v>
      </c>
      <c r="O4" s="198">
        <v>105</v>
      </c>
      <c r="P4" s="198">
        <v>97</v>
      </c>
      <c r="Q4" s="198">
        <v>60</v>
      </c>
      <c r="R4" s="186">
        <v>2</v>
      </c>
      <c r="S4" s="187" t="s">
        <v>397</v>
      </c>
    </row>
    <row r="5" spans="1:19" x14ac:dyDescent="0.2">
      <c r="A5" s="195"/>
      <c r="B5" s="195"/>
      <c r="C5" s="195"/>
      <c r="D5" s="121"/>
      <c r="E5" s="191"/>
      <c r="F5" s="121"/>
      <c r="G5" s="121"/>
      <c r="H5" s="121"/>
      <c r="I5" s="186">
        <v>3</v>
      </c>
      <c r="J5" s="195" t="s">
        <v>479</v>
      </c>
      <c r="K5" s="195" t="s">
        <v>26</v>
      </c>
      <c r="L5" s="195" t="s">
        <v>427</v>
      </c>
      <c r="M5" s="121" t="s">
        <v>30</v>
      </c>
      <c r="N5" s="197">
        <v>1670049.52</v>
      </c>
      <c r="O5" s="198">
        <v>234</v>
      </c>
      <c r="P5" s="198">
        <v>152</v>
      </c>
      <c r="Q5" s="198">
        <v>142</v>
      </c>
      <c r="R5" s="186">
        <v>3</v>
      </c>
      <c r="S5" s="187" t="s">
        <v>399</v>
      </c>
    </row>
    <row r="6" spans="1:19" x14ac:dyDescent="0.2">
      <c r="A6" s="195"/>
      <c r="B6" s="195"/>
      <c r="C6" s="195"/>
      <c r="D6" s="121"/>
      <c r="E6" s="191"/>
      <c r="F6" s="121"/>
      <c r="G6" s="121"/>
      <c r="H6" s="121"/>
      <c r="I6" s="186">
        <v>4</v>
      </c>
      <c r="J6" s="195" t="s">
        <v>479</v>
      </c>
      <c r="K6" s="195" t="s">
        <v>26</v>
      </c>
      <c r="L6" s="195" t="s">
        <v>427</v>
      </c>
      <c r="M6" s="121" t="s">
        <v>31</v>
      </c>
      <c r="N6" s="197">
        <v>257230.61</v>
      </c>
      <c r="O6" s="198">
        <v>18</v>
      </c>
      <c r="P6" s="198">
        <v>18</v>
      </c>
      <c r="Q6" s="198">
        <v>16</v>
      </c>
      <c r="R6" s="186">
        <v>4</v>
      </c>
      <c r="S6" s="187" t="s">
        <v>398</v>
      </c>
    </row>
    <row r="7" spans="1:19" x14ac:dyDescent="0.2">
      <c r="A7" s="195"/>
      <c r="B7" s="195"/>
      <c r="C7" s="195"/>
      <c r="D7" s="121"/>
      <c r="E7" s="191"/>
      <c r="F7" s="121"/>
      <c r="G7" s="121"/>
      <c r="H7" s="121"/>
      <c r="I7" s="189" t="s">
        <v>417</v>
      </c>
      <c r="J7" s="195" t="s">
        <v>479</v>
      </c>
      <c r="K7" s="195" t="s">
        <v>26</v>
      </c>
      <c r="L7" s="195" t="s">
        <v>427</v>
      </c>
      <c r="M7" s="121" t="s">
        <v>32</v>
      </c>
      <c r="N7" s="199">
        <v>5136.2</v>
      </c>
      <c r="O7" s="198">
        <v>3</v>
      </c>
      <c r="P7" s="198">
        <v>2</v>
      </c>
      <c r="Q7" s="198">
        <v>0</v>
      </c>
      <c r="R7" s="189" t="s">
        <v>417</v>
      </c>
      <c r="S7" s="187" t="s">
        <v>400</v>
      </c>
    </row>
    <row r="8" spans="1:19" x14ac:dyDescent="0.2">
      <c r="A8" s="195"/>
      <c r="B8" s="195"/>
      <c r="C8" s="195"/>
      <c r="D8" s="121"/>
      <c r="E8" s="191"/>
      <c r="F8" s="121"/>
      <c r="G8" s="121"/>
      <c r="H8" s="121"/>
      <c r="I8" s="121"/>
      <c r="J8" s="195" t="s">
        <v>479</v>
      </c>
      <c r="K8" s="195" t="s">
        <v>26</v>
      </c>
      <c r="L8" s="195" t="s">
        <v>427</v>
      </c>
      <c r="M8" s="121" t="s">
        <v>33</v>
      </c>
      <c r="N8" s="196">
        <v>0</v>
      </c>
      <c r="O8" s="200">
        <v>0</v>
      </c>
      <c r="P8" s="200">
        <v>0</v>
      </c>
      <c r="Q8" s="200">
        <v>0</v>
      </c>
      <c r="R8" s="121"/>
      <c r="S8" s="44" t="s">
        <v>401</v>
      </c>
    </row>
    <row r="9" spans="1:19" x14ac:dyDescent="0.2">
      <c r="A9" s="195"/>
      <c r="B9" s="195"/>
      <c r="C9" s="195"/>
      <c r="D9" s="121"/>
      <c r="E9" s="191"/>
      <c r="F9" s="121"/>
      <c r="G9" s="121"/>
      <c r="H9" s="121"/>
      <c r="I9" s="121"/>
      <c r="J9" s="195" t="s">
        <v>479</v>
      </c>
      <c r="K9" s="195" t="s">
        <v>26</v>
      </c>
      <c r="L9" s="195" t="s">
        <v>427</v>
      </c>
      <c r="M9" s="121" t="s">
        <v>34</v>
      </c>
      <c r="N9" s="196">
        <v>0</v>
      </c>
      <c r="O9" s="200">
        <v>0</v>
      </c>
      <c r="P9" s="200">
        <v>0</v>
      </c>
      <c r="Q9" s="200">
        <v>0</v>
      </c>
      <c r="R9" s="121"/>
      <c r="S9" s="44" t="s">
        <v>6</v>
      </c>
    </row>
    <row r="10" spans="1:19" ht="15" customHeight="1" x14ac:dyDescent="0.2">
      <c r="A10" s="195"/>
      <c r="B10" s="195"/>
      <c r="C10" s="195"/>
      <c r="D10" s="121"/>
      <c r="E10" s="191"/>
      <c r="F10" s="121"/>
      <c r="G10" s="121"/>
      <c r="H10" s="121"/>
      <c r="I10" s="121"/>
      <c r="J10" s="195" t="s">
        <v>479</v>
      </c>
      <c r="K10" s="195" t="s">
        <v>26</v>
      </c>
      <c r="L10" s="195" t="s">
        <v>427</v>
      </c>
      <c r="M10" s="121" t="s">
        <v>35</v>
      </c>
      <c r="N10" s="196">
        <v>0</v>
      </c>
      <c r="O10" s="200">
        <v>0</v>
      </c>
      <c r="P10" s="200">
        <v>0</v>
      </c>
      <c r="Q10" s="200">
        <v>0</v>
      </c>
      <c r="R10" s="121"/>
      <c r="S10" s="44" t="s">
        <v>402</v>
      </c>
    </row>
    <row r="11" spans="1:19" ht="15" customHeight="1" x14ac:dyDescent="0.2">
      <c r="A11" s="195"/>
      <c r="B11" s="195"/>
      <c r="C11" s="195"/>
      <c r="D11" s="121"/>
      <c r="E11" s="191"/>
      <c r="F11" s="121"/>
      <c r="G11" s="121"/>
      <c r="H11" s="121"/>
      <c r="I11" s="121"/>
      <c r="J11" s="195" t="s">
        <v>479</v>
      </c>
      <c r="K11" s="195" t="s">
        <v>26</v>
      </c>
      <c r="L11" s="195" t="s">
        <v>427</v>
      </c>
      <c r="M11" s="121" t="s">
        <v>36</v>
      </c>
      <c r="N11" s="196">
        <v>0</v>
      </c>
      <c r="O11" s="200">
        <v>0</v>
      </c>
      <c r="P11" s="200">
        <v>0</v>
      </c>
      <c r="Q11" s="200">
        <v>0</v>
      </c>
      <c r="R11" s="121"/>
      <c r="S11" s="44" t="s">
        <v>8</v>
      </c>
    </row>
    <row r="12" spans="1:19" x14ac:dyDescent="0.2">
      <c r="A12" s="195"/>
      <c r="B12" s="195"/>
      <c r="C12" s="195"/>
      <c r="D12" s="121"/>
      <c r="E12" s="191"/>
      <c r="F12" s="121"/>
      <c r="G12" s="121"/>
      <c r="H12" s="121"/>
      <c r="I12" s="121"/>
      <c r="J12" s="195" t="s">
        <v>479</v>
      </c>
      <c r="K12" s="195" t="s">
        <v>26</v>
      </c>
      <c r="L12" s="195" t="s">
        <v>427</v>
      </c>
      <c r="M12" s="121" t="s">
        <v>37</v>
      </c>
      <c r="N12" s="196">
        <v>0</v>
      </c>
      <c r="O12" s="200">
        <v>0</v>
      </c>
      <c r="P12" s="200">
        <v>0</v>
      </c>
      <c r="Q12" s="200">
        <v>0</v>
      </c>
      <c r="R12" s="121"/>
      <c r="S12" s="44" t="s">
        <v>403</v>
      </c>
    </row>
    <row r="13" spans="1:19" x14ac:dyDescent="0.2">
      <c r="A13" s="195"/>
      <c r="B13" s="195"/>
      <c r="C13" s="195"/>
      <c r="D13" s="121"/>
      <c r="E13" s="191"/>
      <c r="F13" s="121"/>
      <c r="G13" s="121"/>
      <c r="H13" s="121"/>
      <c r="I13" s="189" t="s">
        <v>419</v>
      </c>
      <c r="J13" s="195" t="s">
        <v>479</v>
      </c>
      <c r="K13" s="195" t="s">
        <v>26</v>
      </c>
      <c r="L13" s="195" t="s">
        <v>427</v>
      </c>
      <c r="M13" s="121" t="s">
        <v>26</v>
      </c>
      <c r="N13" s="199">
        <v>50283.43</v>
      </c>
      <c r="O13" s="198">
        <v>8</v>
      </c>
      <c r="P13" s="198">
        <v>2</v>
      </c>
      <c r="Q13" s="198">
        <v>0</v>
      </c>
      <c r="R13" s="189" t="s">
        <v>419</v>
      </c>
      <c r="S13" s="187" t="s">
        <v>9</v>
      </c>
    </row>
    <row r="14" spans="1:19" ht="15" customHeight="1" x14ac:dyDescent="0.2">
      <c r="A14" s="195"/>
      <c r="B14" s="195"/>
      <c r="C14" s="195"/>
      <c r="D14" s="121"/>
      <c r="E14" s="191"/>
      <c r="F14" s="121"/>
      <c r="G14" s="121"/>
      <c r="H14" s="121"/>
      <c r="I14" s="121"/>
      <c r="J14" s="195" t="s">
        <v>479</v>
      </c>
      <c r="K14" s="195" t="s">
        <v>26</v>
      </c>
      <c r="L14" s="195" t="s">
        <v>427</v>
      </c>
      <c r="M14" s="121" t="s">
        <v>38</v>
      </c>
      <c r="N14" s="196">
        <v>0</v>
      </c>
      <c r="O14" s="200">
        <v>0</v>
      </c>
      <c r="P14" s="200">
        <v>0</v>
      </c>
      <c r="Q14" s="200">
        <v>0</v>
      </c>
      <c r="R14" s="121"/>
      <c r="S14" s="44" t="s">
        <v>404</v>
      </c>
    </row>
    <row r="15" spans="1:19" ht="15" customHeight="1" x14ac:dyDescent="0.2">
      <c r="A15" s="195"/>
      <c r="B15" s="195"/>
      <c r="C15" s="195"/>
      <c r="D15" s="121"/>
      <c r="E15" s="191"/>
      <c r="F15" s="121"/>
      <c r="G15" s="121"/>
      <c r="H15" s="121"/>
      <c r="I15" s="189" t="s">
        <v>51</v>
      </c>
      <c r="J15" s="195" t="s">
        <v>479</v>
      </c>
      <c r="K15" s="195" t="s">
        <v>26</v>
      </c>
      <c r="L15" s="195" t="s">
        <v>427</v>
      </c>
      <c r="M15" s="121" t="s">
        <v>39</v>
      </c>
      <c r="N15" s="199">
        <v>743700</v>
      </c>
      <c r="O15" s="198">
        <v>68</v>
      </c>
      <c r="P15" s="198">
        <v>54</v>
      </c>
      <c r="Q15" s="198">
        <v>51</v>
      </c>
      <c r="R15" s="189" t="s">
        <v>51</v>
      </c>
      <c r="S15" s="187" t="s">
        <v>11</v>
      </c>
    </row>
    <row r="16" spans="1:19" x14ac:dyDescent="0.2">
      <c r="A16" s="195"/>
      <c r="B16" s="195"/>
      <c r="C16" s="195"/>
      <c r="D16" s="121"/>
      <c r="E16" s="191"/>
      <c r="F16" s="121"/>
      <c r="G16" s="121"/>
      <c r="H16" s="121"/>
      <c r="I16" s="189" t="s">
        <v>418</v>
      </c>
      <c r="J16" s="195" t="s">
        <v>479</v>
      </c>
      <c r="K16" s="195" t="s">
        <v>26</v>
      </c>
      <c r="L16" s="195" t="s">
        <v>427</v>
      </c>
      <c r="M16" s="121" t="s">
        <v>40</v>
      </c>
      <c r="N16" s="199">
        <v>0</v>
      </c>
      <c r="O16" s="198">
        <v>0</v>
      </c>
      <c r="P16" s="198">
        <v>0</v>
      </c>
      <c r="Q16" s="198">
        <v>0</v>
      </c>
      <c r="R16" s="189" t="s">
        <v>418</v>
      </c>
      <c r="S16" s="187" t="s">
        <v>405</v>
      </c>
    </row>
    <row r="17" spans="1:19" x14ac:dyDescent="0.2">
      <c r="A17" s="195"/>
      <c r="B17" s="195"/>
      <c r="C17" s="195"/>
      <c r="D17" s="121"/>
      <c r="E17" s="191"/>
      <c r="F17" s="121"/>
      <c r="G17" s="121"/>
      <c r="H17" s="121"/>
      <c r="I17" s="121"/>
      <c r="J17" s="195" t="s">
        <v>479</v>
      </c>
      <c r="K17" s="195" t="s">
        <v>26</v>
      </c>
      <c r="L17" s="195" t="s">
        <v>427</v>
      </c>
      <c r="M17" s="121" t="s">
        <v>41</v>
      </c>
      <c r="N17" s="196">
        <v>0</v>
      </c>
      <c r="O17" s="200">
        <v>0</v>
      </c>
      <c r="P17" s="200">
        <v>0</v>
      </c>
      <c r="Q17" s="200">
        <v>0</v>
      </c>
      <c r="R17" s="121"/>
      <c r="S17" s="44" t="s">
        <v>406</v>
      </c>
    </row>
    <row r="18" spans="1:19" ht="15" customHeight="1" x14ac:dyDescent="0.2">
      <c r="A18" s="195"/>
      <c r="B18" s="195"/>
      <c r="C18" s="195"/>
      <c r="D18" s="121"/>
      <c r="E18" s="191"/>
      <c r="F18" s="121"/>
      <c r="G18" s="121"/>
      <c r="H18" s="121"/>
      <c r="I18" s="189" t="s">
        <v>420</v>
      </c>
      <c r="J18" s="195" t="s">
        <v>479</v>
      </c>
      <c r="K18" s="195" t="s">
        <v>26</v>
      </c>
      <c r="L18" s="195" t="s">
        <v>427</v>
      </c>
      <c r="M18" s="121" t="s">
        <v>42</v>
      </c>
      <c r="N18" s="199">
        <v>0</v>
      </c>
      <c r="O18" s="198">
        <v>0</v>
      </c>
      <c r="P18" s="198">
        <v>0</v>
      </c>
      <c r="Q18" s="198">
        <v>0</v>
      </c>
      <c r="R18" s="189" t="s">
        <v>420</v>
      </c>
      <c r="S18" s="187" t="s">
        <v>376</v>
      </c>
    </row>
    <row r="19" spans="1:19" ht="15" customHeight="1" x14ac:dyDescent="0.2">
      <c r="A19" s="195"/>
      <c r="B19" s="195"/>
      <c r="C19" s="195"/>
      <c r="D19" s="121"/>
      <c r="E19" s="191"/>
      <c r="F19" s="121"/>
      <c r="G19" s="121"/>
      <c r="H19" s="121"/>
      <c r="I19" s="189" t="s">
        <v>416</v>
      </c>
      <c r="J19" s="195" t="s">
        <v>479</v>
      </c>
      <c r="K19" s="195" t="s">
        <v>26</v>
      </c>
      <c r="L19" s="195" t="s">
        <v>427</v>
      </c>
      <c r="M19" s="121" t="s">
        <v>43</v>
      </c>
      <c r="N19" s="199">
        <v>61609.599999999999</v>
      </c>
      <c r="O19" s="198">
        <v>9</v>
      </c>
      <c r="P19" s="198">
        <v>9</v>
      </c>
      <c r="Q19" s="198">
        <v>7</v>
      </c>
      <c r="R19" s="189" t="s">
        <v>416</v>
      </c>
      <c r="S19" s="187" t="s">
        <v>377</v>
      </c>
    </row>
    <row r="20" spans="1:19" x14ac:dyDescent="0.2">
      <c r="A20" s="195"/>
      <c r="B20" s="195"/>
      <c r="C20" s="195"/>
      <c r="D20" s="121"/>
      <c r="E20" s="191"/>
      <c r="F20" s="121"/>
      <c r="G20" s="121"/>
      <c r="H20" s="121"/>
      <c r="I20" s="121"/>
      <c r="J20" s="195" t="s">
        <v>479</v>
      </c>
      <c r="K20" s="195" t="s">
        <v>26</v>
      </c>
      <c r="L20" s="195" t="s">
        <v>427</v>
      </c>
      <c r="M20" s="121" t="s">
        <v>44</v>
      </c>
      <c r="N20" s="196">
        <v>0</v>
      </c>
      <c r="O20" s="200">
        <v>0</v>
      </c>
      <c r="P20" s="200">
        <v>0</v>
      </c>
      <c r="Q20" s="200">
        <v>0</v>
      </c>
      <c r="R20" s="121"/>
      <c r="S20" s="44" t="s">
        <v>15</v>
      </c>
    </row>
    <row r="21" spans="1:19" x14ac:dyDescent="0.2">
      <c r="A21" s="195"/>
      <c r="B21" s="195"/>
      <c r="C21" s="195"/>
      <c r="D21" s="121"/>
      <c r="E21" s="191"/>
      <c r="F21" s="121"/>
      <c r="G21" s="121"/>
      <c r="H21" s="121"/>
      <c r="I21" s="186">
        <v>6</v>
      </c>
      <c r="J21" s="195" t="s">
        <v>479</v>
      </c>
      <c r="K21" s="195" t="s">
        <v>26</v>
      </c>
      <c r="L21" s="195" t="s">
        <v>427</v>
      </c>
      <c r="M21" s="121" t="s">
        <v>45</v>
      </c>
      <c r="N21" s="197">
        <v>4085089.29</v>
      </c>
      <c r="O21" s="198">
        <v>123</v>
      </c>
      <c r="P21" s="198">
        <v>110</v>
      </c>
      <c r="Q21" s="198">
        <v>107</v>
      </c>
      <c r="R21" s="186">
        <v>6</v>
      </c>
      <c r="S21" s="187" t="s">
        <v>16</v>
      </c>
    </row>
    <row r="22" spans="1:19" x14ac:dyDescent="0.2">
      <c r="A22" s="195"/>
      <c r="B22" s="195"/>
      <c r="C22" s="195"/>
      <c r="D22" s="121"/>
      <c r="E22" s="191"/>
      <c r="F22" s="121"/>
      <c r="G22" s="121"/>
      <c r="H22" s="121"/>
      <c r="I22" s="121"/>
      <c r="J22" s="195" t="s">
        <v>479</v>
      </c>
      <c r="K22" s="195" t="s">
        <v>26</v>
      </c>
      <c r="L22" s="195" t="s">
        <v>427</v>
      </c>
      <c r="M22" s="121" t="s">
        <v>46</v>
      </c>
      <c r="N22" s="196">
        <v>0</v>
      </c>
      <c r="O22" s="200">
        <v>0</v>
      </c>
      <c r="P22" s="200">
        <v>0</v>
      </c>
      <c r="Q22" s="200">
        <v>0</v>
      </c>
      <c r="R22" s="121"/>
      <c r="S22" s="44" t="s">
        <v>407</v>
      </c>
    </row>
    <row r="23" spans="1:19" ht="15" customHeight="1" x14ac:dyDescent="0.2">
      <c r="A23" s="195"/>
      <c r="B23" s="195"/>
      <c r="C23" s="195"/>
      <c r="D23" s="121"/>
      <c r="E23" s="191"/>
      <c r="F23" s="121"/>
      <c r="G23" s="121"/>
      <c r="H23" s="121"/>
      <c r="I23" s="186">
        <v>5</v>
      </c>
      <c r="J23" s="195" t="s">
        <v>479</v>
      </c>
      <c r="K23" s="195" t="s">
        <v>26</v>
      </c>
      <c r="L23" s="195" t="s">
        <v>427</v>
      </c>
      <c r="M23" s="121" t="s">
        <v>47</v>
      </c>
      <c r="N23" s="197">
        <v>1199518.1499999999</v>
      </c>
      <c r="O23" s="198">
        <v>34</v>
      </c>
      <c r="P23" s="198">
        <v>77</v>
      </c>
      <c r="Q23" s="198">
        <v>71</v>
      </c>
      <c r="R23" s="186">
        <v>5</v>
      </c>
      <c r="S23" s="187" t="s">
        <v>17</v>
      </c>
    </row>
    <row r="24" spans="1:19" ht="15" customHeight="1" x14ac:dyDescent="0.2">
      <c r="A24" s="195"/>
      <c r="B24" s="195"/>
      <c r="C24" s="195"/>
      <c r="D24" s="121"/>
      <c r="E24" s="191"/>
      <c r="F24" s="121"/>
      <c r="G24" s="121"/>
      <c r="H24" s="121"/>
      <c r="I24" s="45"/>
      <c r="J24" s="195" t="s">
        <v>479</v>
      </c>
      <c r="K24" s="195" t="s">
        <v>26</v>
      </c>
      <c r="L24" s="195" t="s">
        <v>427</v>
      </c>
      <c r="M24" s="121" t="s">
        <v>48</v>
      </c>
      <c r="N24" s="196">
        <v>0</v>
      </c>
      <c r="O24" s="200">
        <v>0</v>
      </c>
      <c r="P24" s="200">
        <v>0</v>
      </c>
      <c r="Q24" s="200">
        <v>0</v>
      </c>
      <c r="S24" s="44" t="s">
        <v>407</v>
      </c>
    </row>
    <row r="25" spans="1:19" ht="15" customHeight="1" x14ac:dyDescent="0.2">
      <c r="A25" s="195"/>
      <c r="B25" s="195"/>
      <c r="C25" s="195"/>
      <c r="D25" s="121"/>
      <c r="E25" s="191"/>
      <c r="F25" s="121"/>
      <c r="G25" s="121"/>
      <c r="H25" s="121"/>
      <c r="I25" s="45"/>
      <c r="J25" s="195" t="s">
        <v>479</v>
      </c>
      <c r="K25" s="195" t="s">
        <v>26</v>
      </c>
      <c r="L25" s="195" t="s">
        <v>427</v>
      </c>
      <c r="M25" s="121" t="s">
        <v>319</v>
      </c>
      <c r="N25" s="196">
        <v>0</v>
      </c>
      <c r="O25" s="200">
        <v>0</v>
      </c>
      <c r="P25" s="200">
        <v>0</v>
      </c>
      <c r="Q25" s="200">
        <v>0</v>
      </c>
      <c r="S25" s="44" t="s">
        <v>18</v>
      </c>
    </row>
    <row r="26" spans="1:19" ht="15" customHeight="1" x14ac:dyDescent="0.2">
      <c r="A26" s="195"/>
      <c r="B26" s="195"/>
      <c r="C26" s="195"/>
      <c r="D26" s="121"/>
      <c r="E26" s="191"/>
      <c r="F26" s="121"/>
      <c r="G26" s="121"/>
      <c r="H26" s="121"/>
      <c r="I26" s="190" t="s">
        <v>421</v>
      </c>
      <c r="J26" s="195" t="s">
        <v>479</v>
      </c>
      <c r="K26" s="195" t="s">
        <v>26</v>
      </c>
      <c r="L26" s="195" t="s">
        <v>427</v>
      </c>
      <c r="M26" s="121" t="s">
        <v>320</v>
      </c>
      <c r="N26" s="199">
        <v>4685</v>
      </c>
      <c r="O26" s="198">
        <v>1</v>
      </c>
      <c r="P26" s="198">
        <v>0</v>
      </c>
      <c r="Q26" s="198">
        <v>0</v>
      </c>
      <c r="R26" s="190" t="s">
        <v>421</v>
      </c>
      <c r="S26" s="187" t="s">
        <v>358</v>
      </c>
    </row>
    <row r="27" spans="1:19" x14ac:dyDescent="0.2">
      <c r="A27" s="195"/>
      <c r="B27" s="195"/>
      <c r="C27" s="195"/>
      <c r="D27" s="121"/>
      <c r="E27" s="191"/>
      <c r="F27" s="121"/>
      <c r="G27" s="121"/>
      <c r="H27" s="121"/>
      <c r="I27" s="190" t="s">
        <v>415</v>
      </c>
      <c r="J27" s="195" t="s">
        <v>479</v>
      </c>
      <c r="K27" s="195" t="s">
        <v>26</v>
      </c>
      <c r="L27" s="195" t="s">
        <v>427</v>
      </c>
      <c r="M27" s="121" t="s">
        <v>321</v>
      </c>
      <c r="N27" s="199">
        <v>0</v>
      </c>
      <c r="O27" s="198">
        <v>0</v>
      </c>
      <c r="P27" s="198">
        <v>0</v>
      </c>
      <c r="Q27" s="198">
        <v>0</v>
      </c>
      <c r="R27" s="190" t="s">
        <v>415</v>
      </c>
      <c r="S27" s="187" t="s">
        <v>408</v>
      </c>
    </row>
    <row r="28" spans="1:19" x14ac:dyDescent="0.2">
      <c r="A28" s="195"/>
      <c r="B28" s="195"/>
      <c r="C28" s="195"/>
      <c r="D28" s="121"/>
      <c r="E28" s="191"/>
      <c r="F28" s="121"/>
      <c r="G28" s="121"/>
      <c r="H28" s="121"/>
      <c r="J28" s="195" t="s">
        <v>479</v>
      </c>
      <c r="K28" s="195" t="s">
        <v>26</v>
      </c>
      <c r="L28" s="195" t="s">
        <v>427</v>
      </c>
      <c r="M28" s="121" t="s">
        <v>322</v>
      </c>
      <c r="N28" s="196">
        <v>0</v>
      </c>
      <c r="O28" s="200">
        <v>0</v>
      </c>
      <c r="P28" s="200">
        <v>0</v>
      </c>
      <c r="Q28" s="200">
        <v>0</v>
      </c>
      <c r="S28" s="44" t="s">
        <v>215</v>
      </c>
    </row>
    <row r="29" spans="1:19" x14ac:dyDescent="0.2">
      <c r="A29" s="195"/>
      <c r="B29" s="195"/>
      <c r="C29" s="195"/>
      <c r="D29" s="121"/>
      <c r="E29" s="191"/>
      <c r="F29" s="121"/>
      <c r="G29" s="121"/>
      <c r="H29" s="121"/>
      <c r="J29" s="195" t="s">
        <v>479</v>
      </c>
      <c r="K29" s="195" t="s">
        <v>26</v>
      </c>
      <c r="L29" s="195" t="s">
        <v>427</v>
      </c>
      <c r="M29" s="121" t="s">
        <v>391</v>
      </c>
      <c r="N29" s="196">
        <v>0</v>
      </c>
      <c r="O29" s="200">
        <v>0</v>
      </c>
      <c r="P29" s="200">
        <v>0</v>
      </c>
      <c r="Q29" s="200">
        <v>0</v>
      </c>
      <c r="S29" s="44" t="s">
        <v>409</v>
      </c>
    </row>
    <row r="30" spans="1:19" ht="15" customHeight="1" x14ac:dyDescent="0.2">
      <c r="A30" s="195"/>
      <c r="B30" s="195"/>
      <c r="C30" s="195"/>
      <c r="D30" s="121"/>
      <c r="E30" s="191"/>
      <c r="F30" s="121"/>
      <c r="G30" s="121"/>
      <c r="H30" s="121"/>
      <c r="J30" s="195" t="s">
        <v>479</v>
      </c>
      <c r="K30" s="195" t="s">
        <v>26</v>
      </c>
      <c r="L30" s="195" t="s">
        <v>427</v>
      </c>
      <c r="M30" s="121" t="s">
        <v>392</v>
      </c>
      <c r="N30" s="196">
        <v>0</v>
      </c>
      <c r="O30" s="200">
        <v>0</v>
      </c>
      <c r="P30" s="200">
        <v>0</v>
      </c>
      <c r="Q30" s="200">
        <v>0</v>
      </c>
      <c r="S30" s="44" t="s">
        <v>410</v>
      </c>
    </row>
    <row r="31" spans="1:19" x14ac:dyDescent="0.2">
      <c r="A31" s="195"/>
      <c r="B31" s="195"/>
      <c r="C31" s="195"/>
      <c r="D31" s="121"/>
      <c r="E31" s="191"/>
      <c r="F31" s="121"/>
      <c r="G31" s="121"/>
      <c r="H31" s="121"/>
      <c r="J31" s="195" t="s">
        <v>479</v>
      </c>
      <c r="K31" s="195" t="s">
        <v>26</v>
      </c>
      <c r="L31" s="195" t="s">
        <v>427</v>
      </c>
      <c r="M31" s="121" t="s">
        <v>393</v>
      </c>
      <c r="N31" s="196">
        <v>0</v>
      </c>
      <c r="O31" s="200">
        <v>0</v>
      </c>
      <c r="P31" s="200">
        <v>0</v>
      </c>
      <c r="Q31" s="200">
        <v>0</v>
      </c>
      <c r="S31" s="44" t="s">
        <v>411</v>
      </c>
    </row>
    <row r="32" spans="1:19" x14ac:dyDescent="0.2">
      <c r="A32" s="195"/>
      <c r="B32" s="195"/>
      <c r="C32" s="195"/>
      <c r="D32" s="201"/>
      <c r="E32" s="202"/>
      <c r="F32" s="201"/>
      <c r="G32" s="201"/>
      <c r="H32" s="201"/>
      <c r="J32" s="195" t="s">
        <v>479</v>
      </c>
      <c r="K32" s="195" t="s">
        <v>26</v>
      </c>
      <c r="L32" s="195" t="s">
        <v>427</v>
      </c>
      <c r="M32" s="201" t="s">
        <v>394</v>
      </c>
      <c r="N32" s="203">
        <v>21273328.98</v>
      </c>
      <c r="O32" s="204">
        <v>1620</v>
      </c>
      <c r="P32" s="204">
        <v>1268</v>
      </c>
      <c r="Q32" s="204">
        <v>1088</v>
      </c>
      <c r="S32" s="185" t="s">
        <v>412</v>
      </c>
    </row>
    <row r="33" spans="1:19" x14ac:dyDescent="0.2">
      <c r="A33" s="195"/>
      <c r="B33" s="195"/>
      <c r="C33" s="195"/>
      <c r="D33" s="121"/>
      <c r="E33" s="191"/>
      <c r="F33" s="121"/>
      <c r="G33" s="121"/>
      <c r="H33" s="121"/>
      <c r="J33" s="195" t="s">
        <v>479</v>
      </c>
      <c r="K33" s="195" t="s">
        <v>26</v>
      </c>
      <c r="L33" s="195" t="s">
        <v>427</v>
      </c>
      <c r="M33" s="121" t="s">
        <v>49</v>
      </c>
      <c r="N33" s="196">
        <v>360</v>
      </c>
      <c r="O33" s="200">
        <v>0</v>
      </c>
      <c r="P33" s="200">
        <v>0</v>
      </c>
      <c r="Q33" s="200">
        <v>0</v>
      </c>
      <c r="S33" s="44" t="s">
        <v>413</v>
      </c>
    </row>
    <row r="34" spans="1:19" x14ac:dyDescent="0.2">
      <c r="A34" s="195"/>
      <c r="B34" s="195"/>
      <c r="C34" s="195"/>
      <c r="D34" s="121"/>
      <c r="E34" s="191"/>
      <c r="F34" s="121"/>
      <c r="G34" s="121"/>
      <c r="H34" s="121"/>
      <c r="J34" s="195" t="s">
        <v>479</v>
      </c>
      <c r="K34" s="195" t="s">
        <v>26</v>
      </c>
      <c r="L34" s="195" t="s">
        <v>427</v>
      </c>
      <c r="M34" s="121" t="s">
        <v>50</v>
      </c>
      <c r="N34" s="196">
        <v>60</v>
      </c>
      <c r="O34" s="200">
        <v>0</v>
      </c>
      <c r="P34" s="200">
        <v>0</v>
      </c>
      <c r="Q34" s="200">
        <v>0</v>
      </c>
      <c r="S34" s="44" t="s">
        <v>414</v>
      </c>
    </row>
    <row r="35" spans="1:19" x14ac:dyDescent="0.2">
      <c r="D35" s="188" t="s">
        <v>89</v>
      </c>
      <c r="E35" s="192">
        <f>SUM(E3:E6,E21,E23)</f>
        <v>0</v>
      </c>
      <c r="F35" s="186">
        <f>SUM(F3:F6,F21,F23)</f>
        <v>0</v>
      </c>
      <c r="G35" s="186">
        <f>SUM(G3:G6,G21,G23)</f>
        <v>0</v>
      </c>
      <c r="H35" s="186">
        <f>SUM(H3:H6,H21,H23)</f>
        <v>0</v>
      </c>
      <c r="M35" s="188" t="s">
        <v>89</v>
      </c>
      <c r="N35" s="192">
        <f>SUM(N3:N6,N21,N23)</f>
        <v>9771250.2599999998</v>
      </c>
      <c r="O35" s="186">
        <f>SUM(O3:O6,O21,O23)</f>
        <v>721</v>
      </c>
      <c r="P35" s="186">
        <f>SUM(P3:P6,P21,P23)</f>
        <v>567</v>
      </c>
      <c r="Q35" s="186">
        <f>SUM(Q3:Q6,Q21,Q23)</f>
        <v>486</v>
      </c>
    </row>
    <row r="36" spans="1:19" x14ac:dyDescent="0.2">
      <c r="D36" s="45" t="s">
        <v>99</v>
      </c>
      <c r="E36" s="94">
        <f>E3+E4+E5+E6+E21+E23</f>
        <v>0</v>
      </c>
      <c r="F36" s="121">
        <f>F3+F4+F5+F6+F21+F23</f>
        <v>0</v>
      </c>
      <c r="G36" s="121">
        <f>G3+G4+G5+G6+G21+G23</f>
        <v>0</v>
      </c>
      <c r="H36" s="121">
        <f>H3+H4+H5+H6+H21+H23</f>
        <v>0</v>
      </c>
      <c r="M36" s="45" t="s">
        <v>99</v>
      </c>
      <c r="N36" s="94">
        <f>N3+N4+N5+N6+N21+N23</f>
        <v>9771250.2599999998</v>
      </c>
      <c r="O36" s="121">
        <f>O3+O4+O5+O6+O21+O23</f>
        <v>721</v>
      </c>
      <c r="P36" s="121">
        <f>P3+P4+P5+P6+P21+P23</f>
        <v>567</v>
      </c>
      <c r="Q36" s="121">
        <f>Q3+Q4+Q5+Q6+Q21+Q23</f>
        <v>486</v>
      </c>
    </row>
    <row r="37" spans="1:19" x14ac:dyDescent="0.2">
      <c r="D37" s="188" t="s">
        <v>272</v>
      </c>
      <c r="E37" s="192">
        <f>SUM(E3:E6,E15,E21,E23)</f>
        <v>0</v>
      </c>
      <c r="F37" s="186">
        <f>SUM(F3:F6,F15,F21,F23)</f>
        <v>0</v>
      </c>
      <c r="G37" s="186">
        <f>SUM(G3:G6,G15,G21,G23)</f>
        <v>0</v>
      </c>
      <c r="H37" s="186">
        <f>SUM(H3:H6,H15,H21,H23)</f>
        <v>0</v>
      </c>
      <c r="M37" s="188" t="s">
        <v>272</v>
      </c>
      <c r="N37" s="192">
        <f>SUM(N3:N6,N15,N21,N23)</f>
        <v>10514950.26</v>
      </c>
      <c r="O37" s="186">
        <f>SUM(O3:O6,O15,O21,O23)</f>
        <v>789</v>
      </c>
      <c r="P37" s="186">
        <f>SUM(P3:P6,P15,P21,P23)</f>
        <v>621</v>
      </c>
      <c r="Q37" s="186">
        <f>SUM(Q3:Q6,Q15,Q21,Q23)</f>
        <v>537</v>
      </c>
    </row>
    <row r="38" spans="1:19" x14ac:dyDescent="0.2">
      <c r="D38" s="45" t="s">
        <v>99</v>
      </c>
      <c r="E38" s="94">
        <f>E3+E4+E5+E6+E15+E21+E23</f>
        <v>0</v>
      </c>
      <c r="F38" s="121">
        <f>F3+F4+F5+F6+F15+F21+F23</f>
        <v>0</v>
      </c>
      <c r="G38" s="121">
        <f>G3+G4+G5+G6+G15+G21+G23</f>
        <v>0</v>
      </c>
      <c r="H38" s="121">
        <f>H3+H4+H5+H6+H15+H21+H23</f>
        <v>0</v>
      </c>
      <c r="M38" s="45" t="s">
        <v>99</v>
      </c>
      <c r="N38" s="94">
        <f>N3+N4+N5+N6+N15+N21+N23</f>
        <v>10514950.26</v>
      </c>
      <c r="O38" s="121">
        <f>O3+O4+O5+O6+O15+O21+O23</f>
        <v>789</v>
      </c>
      <c r="P38" s="121">
        <f>P3+P4+P5+P6+P15+P21+P23</f>
        <v>621</v>
      </c>
      <c r="Q38" s="121">
        <f>Q3+Q4+Q5+Q6+Q15+Q21+Q23</f>
        <v>537</v>
      </c>
    </row>
    <row r="39" spans="1:19" x14ac:dyDescent="0.2">
      <c r="D39" s="44"/>
      <c r="F39" s="45"/>
      <c r="G39" s="192" t="e">
        <f>SUM(H32)/G32*100</f>
        <v>#DIV/0!</v>
      </c>
      <c r="H39" s="193" t="e">
        <f>SUM(E32)/H32</f>
        <v>#DIV/0!</v>
      </c>
      <c r="P39" s="192">
        <f>SUM(Q32)/P32*100</f>
        <v>85.804416403785496</v>
      </c>
      <c r="Q39" s="193">
        <f>SUM(N32)/Q32</f>
        <v>19552.692077205884</v>
      </c>
    </row>
    <row r="40" spans="1:19" x14ac:dyDescent="0.2">
      <c r="D40" s="44"/>
      <c r="E40" s="196">
        <f>SUM(E3:E21,E23,E25:E31)</f>
        <v>0</v>
      </c>
      <c r="F40" s="200">
        <f>SUM(F3:F21,F23,F25:F31)</f>
        <v>0</v>
      </c>
      <c r="G40" s="200">
        <f>SUM(G3:G21,G23,G25:G31)</f>
        <v>0</v>
      </c>
      <c r="H40" s="200">
        <f>SUM(H3:H21,H23,H25:H31)</f>
        <v>0</v>
      </c>
      <c r="N40" s="196">
        <f>SUM(N3:N21,N23,N25:N31)</f>
        <v>10636664.49</v>
      </c>
      <c r="O40" s="200">
        <f>SUM(O3:O21,O23,O25:O31)</f>
        <v>810</v>
      </c>
      <c r="P40" s="200">
        <f>SUM(P3:P21,P23,P25:P31)</f>
        <v>634</v>
      </c>
      <c r="Q40" s="200">
        <f>SUM(Q3:Q21,Q23,Q25:Q31)</f>
        <v>544</v>
      </c>
    </row>
    <row r="41" spans="1:19" x14ac:dyDescent="0.2">
      <c r="D41" s="44"/>
      <c r="E41" s="191">
        <f>SUM(E2:E31)</f>
        <v>0</v>
      </c>
      <c r="F41" s="121">
        <f>SUM(F2:F31)</f>
        <v>0</v>
      </c>
      <c r="G41" s="121">
        <f>SUM(G2:G31)</f>
        <v>0</v>
      </c>
      <c r="H41" s="121">
        <f>SUM(H2:H31)</f>
        <v>0</v>
      </c>
      <c r="N41" s="191">
        <f>SUM(N2:N31)</f>
        <v>21273328.979999997</v>
      </c>
      <c r="O41" s="121">
        <f>SUM(O2:O31)</f>
        <v>1620</v>
      </c>
      <c r="P41" s="121">
        <f>SUM(P2:P31)</f>
        <v>1268</v>
      </c>
      <c r="Q41" s="121">
        <f>SUM(Q2:Q31)</f>
        <v>1088</v>
      </c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Arkusz43">
    <tabColor theme="0"/>
  </sheetPr>
  <dimension ref="A1:S41"/>
  <sheetViews>
    <sheetView zoomScale="80" zoomScaleNormal="80" workbookViewId="0">
      <selection activeCell="J2" sqref="J2:Q34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195" t="s">
        <v>22</v>
      </c>
      <c r="B1" s="195" t="s">
        <v>23</v>
      </c>
      <c r="C1" s="195" t="s">
        <v>24</v>
      </c>
      <c r="D1" s="121" t="s">
        <v>25</v>
      </c>
      <c r="E1" s="193" t="s">
        <v>387</v>
      </c>
      <c r="F1" s="191" t="s">
        <v>388</v>
      </c>
      <c r="G1" s="191" t="s">
        <v>389</v>
      </c>
      <c r="H1" s="191" t="s">
        <v>390</v>
      </c>
      <c r="J1" s="195" t="s">
        <v>22</v>
      </c>
      <c r="K1" s="195" t="s">
        <v>23</v>
      </c>
      <c r="L1" s="195" t="s">
        <v>24</v>
      </c>
      <c r="M1" s="121" t="s">
        <v>25</v>
      </c>
      <c r="N1" s="193" t="s">
        <v>387</v>
      </c>
      <c r="O1" s="191" t="s">
        <v>388</v>
      </c>
      <c r="P1" s="191" t="s">
        <v>389</v>
      </c>
      <c r="Q1" s="191" t="s">
        <v>390</v>
      </c>
    </row>
    <row r="2" spans="1:19" ht="15" customHeight="1" x14ac:dyDescent="0.2">
      <c r="A2" s="195"/>
      <c r="B2" s="195"/>
      <c r="C2" s="195"/>
      <c r="D2" s="121"/>
      <c r="E2" s="191"/>
      <c r="F2" s="121"/>
      <c r="G2" s="121"/>
      <c r="H2" s="121"/>
      <c r="J2" s="195" t="s">
        <v>479</v>
      </c>
      <c r="K2" s="195" t="s">
        <v>26</v>
      </c>
      <c r="L2" s="195" t="s">
        <v>426</v>
      </c>
      <c r="M2" s="121" t="s">
        <v>27</v>
      </c>
      <c r="N2" s="196">
        <v>7923531.1699999999</v>
      </c>
      <c r="O2" s="200">
        <v>557</v>
      </c>
      <c r="P2" s="200">
        <v>512</v>
      </c>
      <c r="Q2" s="200">
        <v>435</v>
      </c>
      <c r="S2" s="44" t="s">
        <v>395</v>
      </c>
    </row>
    <row r="3" spans="1:19" x14ac:dyDescent="0.2">
      <c r="A3" s="195"/>
      <c r="B3" s="195"/>
      <c r="C3" s="195"/>
      <c r="D3" s="121"/>
      <c r="E3" s="191"/>
      <c r="F3" s="121"/>
      <c r="G3" s="121"/>
      <c r="H3" s="121"/>
      <c r="I3" s="186">
        <v>1</v>
      </c>
      <c r="J3" s="195" t="s">
        <v>479</v>
      </c>
      <c r="K3" s="195" t="s">
        <v>26</v>
      </c>
      <c r="L3" s="195" t="s">
        <v>426</v>
      </c>
      <c r="M3" s="121" t="s">
        <v>28</v>
      </c>
      <c r="N3" s="197">
        <v>2940013.79</v>
      </c>
      <c r="O3" s="198">
        <v>251</v>
      </c>
      <c r="P3" s="198">
        <v>194</v>
      </c>
      <c r="Q3" s="198">
        <v>165</v>
      </c>
      <c r="R3" s="186">
        <v>1</v>
      </c>
      <c r="S3" s="187" t="s">
        <v>396</v>
      </c>
    </row>
    <row r="4" spans="1:19" x14ac:dyDescent="0.2">
      <c r="A4" s="195"/>
      <c r="B4" s="195"/>
      <c r="C4" s="195"/>
      <c r="D4" s="121"/>
      <c r="E4" s="191"/>
      <c r="F4" s="121"/>
      <c r="G4" s="121"/>
      <c r="H4" s="121"/>
      <c r="I4" s="186">
        <v>2</v>
      </c>
      <c r="J4" s="195" t="s">
        <v>479</v>
      </c>
      <c r="K4" s="195" t="s">
        <v>26</v>
      </c>
      <c r="L4" s="195" t="s">
        <v>426</v>
      </c>
      <c r="M4" s="121" t="s">
        <v>29</v>
      </c>
      <c r="N4" s="197">
        <v>256487.29</v>
      </c>
      <c r="O4" s="198">
        <v>42</v>
      </c>
      <c r="P4" s="198">
        <v>37</v>
      </c>
      <c r="Q4" s="198">
        <v>21</v>
      </c>
      <c r="R4" s="186">
        <v>2</v>
      </c>
      <c r="S4" s="187" t="s">
        <v>397</v>
      </c>
    </row>
    <row r="5" spans="1:19" x14ac:dyDescent="0.2">
      <c r="A5" s="195"/>
      <c r="B5" s="195"/>
      <c r="C5" s="195"/>
      <c r="D5" s="121"/>
      <c r="E5" s="191"/>
      <c r="F5" s="121"/>
      <c r="G5" s="121"/>
      <c r="H5" s="121"/>
      <c r="I5" s="186">
        <v>3</v>
      </c>
      <c r="J5" s="195" t="s">
        <v>479</v>
      </c>
      <c r="K5" s="195" t="s">
        <v>26</v>
      </c>
      <c r="L5" s="195" t="s">
        <v>426</v>
      </c>
      <c r="M5" s="121" t="s">
        <v>30</v>
      </c>
      <c r="N5" s="197">
        <v>1174248.07</v>
      </c>
      <c r="O5" s="198">
        <v>130</v>
      </c>
      <c r="P5" s="198">
        <v>96</v>
      </c>
      <c r="Q5" s="198">
        <v>96</v>
      </c>
      <c r="R5" s="186">
        <v>3</v>
      </c>
      <c r="S5" s="187" t="s">
        <v>399</v>
      </c>
    </row>
    <row r="6" spans="1:19" x14ac:dyDescent="0.2">
      <c r="A6" s="195"/>
      <c r="B6" s="195"/>
      <c r="C6" s="195"/>
      <c r="D6" s="121"/>
      <c r="E6" s="191"/>
      <c r="F6" s="121"/>
      <c r="G6" s="121"/>
      <c r="H6" s="121"/>
      <c r="I6" s="186">
        <v>4</v>
      </c>
      <c r="J6" s="195" t="s">
        <v>479</v>
      </c>
      <c r="K6" s="195" t="s">
        <v>26</v>
      </c>
      <c r="L6" s="195" t="s">
        <v>426</v>
      </c>
      <c r="M6" s="121" t="s">
        <v>31</v>
      </c>
      <c r="N6" s="197">
        <v>525559.03</v>
      </c>
      <c r="O6" s="198">
        <v>22</v>
      </c>
      <c r="P6" s="198">
        <v>22</v>
      </c>
      <c r="Q6" s="198">
        <v>22</v>
      </c>
      <c r="R6" s="186">
        <v>4</v>
      </c>
      <c r="S6" s="187" t="s">
        <v>398</v>
      </c>
    </row>
    <row r="7" spans="1:19" x14ac:dyDescent="0.2">
      <c r="A7" s="195"/>
      <c r="B7" s="195"/>
      <c r="C7" s="195"/>
      <c r="D7" s="121"/>
      <c r="E7" s="191"/>
      <c r="F7" s="121"/>
      <c r="G7" s="121"/>
      <c r="H7" s="121"/>
      <c r="I7" s="189" t="s">
        <v>417</v>
      </c>
      <c r="J7" s="195" t="s">
        <v>479</v>
      </c>
      <c r="K7" s="195" t="s">
        <v>26</v>
      </c>
      <c r="L7" s="195" t="s">
        <v>426</v>
      </c>
      <c r="M7" s="121" t="s">
        <v>32</v>
      </c>
      <c r="N7" s="199">
        <v>57937.4</v>
      </c>
      <c r="O7" s="198">
        <v>26</v>
      </c>
      <c r="P7" s="198">
        <v>22</v>
      </c>
      <c r="Q7" s="198">
        <v>0</v>
      </c>
      <c r="R7" s="189" t="s">
        <v>417</v>
      </c>
      <c r="S7" s="187" t="s">
        <v>400</v>
      </c>
    </row>
    <row r="8" spans="1:19" x14ac:dyDescent="0.2">
      <c r="A8" s="195"/>
      <c r="B8" s="195"/>
      <c r="C8" s="195"/>
      <c r="D8" s="121"/>
      <c r="E8" s="191"/>
      <c r="F8" s="121"/>
      <c r="G8" s="121"/>
      <c r="H8" s="121"/>
      <c r="I8" s="121"/>
      <c r="J8" s="195" t="s">
        <v>479</v>
      </c>
      <c r="K8" s="195" t="s">
        <v>26</v>
      </c>
      <c r="L8" s="195" t="s">
        <v>426</v>
      </c>
      <c r="M8" s="121" t="s">
        <v>33</v>
      </c>
      <c r="N8" s="196">
        <v>0</v>
      </c>
      <c r="O8" s="200">
        <v>0</v>
      </c>
      <c r="P8" s="200">
        <v>0</v>
      </c>
      <c r="Q8" s="200">
        <v>0</v>
      </c>
      <c r="R8" s="121"/>
      <c r="S8" s="44" t="s">
        <v>401</v>
      </c>
    </row>
    <row r="9" spans="1:19" x14ac:dyDescent="0.2">
      <c r="A9" s="195"/>
      <c r="B9" s="195"/>
      <c r="C9" s="195"/>
      <c r="D9" s="121"/>
      <c r="E9" s="191"/>
      <c r="F9" s="121"/>
      <c r="G9" s="121"/>
      <c r="H9" s="121"/>
      <c r="I9" s="121"/>
      <c r="J9" s="195" t="s">
        <v>479</v>
      </c>
      <c r="K9" s="195" t="s">
        <v>26</v>
      </c>
      <c r="L9" s="195" t="s">
        <v>426</v>
      </c>
      <c r="M9" s="121" t="s">
        <v>34</v>
      </c>
      <c r="N9" s="196">
        <v>32505.82</v>
      </c>
      <c r="O9" s="200">
        <v>3</v>
      </c>
      <c r="P9" s="200">
        <v>0</v>
      </c>
      <c r="Q9" s="200">
        <v>0</v>
      </c>
      <c r="R9" s="121"/>
      <c r="S9" s="44" t="s">
        <v>6</v>
      </c>
    </row>
    <row r="10" spans="1:19" ht="15" customHeight="1" x14ac:dyDescent="0.2">
      <c r="A10" s="195"/>
      <c r="B10" s="195"/>
      <c r="C10" s="195"/>
      <c r="D10" s="121"/>
      <c r="E10" s="191"/>
      <c r="F10" s="121"/>
      <c r="G10" s="121"/>
      <c r="H10" s="121"/>
      <c r="I10" s="121"/>
      <c r="J10" s="195" t="s">
        <v>479</v>
      </c>
      <c r="K10" s="195" t="s">
        <v>26</v>
      </c>
      <c r="L10" s="195" t="s">
        <v>426</v>
      </c>
      <c r="M10" s="121" t="s">
        <v>35</v>
      </c>
      <c r="N10" s="196">
        <v>0</v>
      </c>
      <c r="O10" s="200">
        <v>0</v>
      </c>
      <c r="P10" s="200">
        <v>0</v>
      </c>
      <c r="Q10" s="200">
        <v>0</v>
      </c>
      <c r="R10" s="121"/>
      <c r="S10" s="44" t="s">
        <v>402</v>
      </c>
    </row>
    <row r="11" spans="1:19" ht="15" customHeight="1" x14ac:dyDescent="0.2">
      <c r="A11" s="195"/>
      <c r="B11" s="195"/>
      <c r="C11" s="195"/>
      <c r="D11" s="121"/>
      <c r="E11" s="191"/>
      <c r="F11" s="121"/>
      <c r="G11" s="121"/>
      <c r="H11" s="121"/>
      <c r="I11" s="121"/>
      <c r="J11" s="195" t="s">
        <v>479</v>
      </c>
      <c r="K11" s="195" t="s">
        <v>26</v>
      </c>
      <c r="L11" s="195" t="s">
        <v>426</v>
      </c>
      <c r="M11" s="121" t="s">
        <v>36</v>
      </c>
      <c r="N11" s="196">
        <v>0</v>
      </c>
      <c r="O11" s="200">
        <v>0</v>
      </c>
      <c r="P11" s="200">
        <v>0</v>
      </c>
      <c r="Q11" s="200">
        <v>0</v>
      </c>
      <c r="R11" s="121"/>
      <c r="S11" s="44" t="s">
        <v>8</v>
      </c>
    </row>
    <row r="12" spans="1:19" x14ac:dyDescent="0.2">
      <c r="A12" s="195"/>
      <c r="B12" s="195"/>
      <c r="C12" s="195"/>
      <c r="D12" s="121"/>
      <c r="E12" s="191"/>
      <c r="F12" s="121"/>
      <c r="G12" s="121"/>
      <c r="H12" s="121"/>
      <c r="I12" s="121"/>
      <c r="J12" s="195" t="s">
        <v>479</v>
      </c>
      <c r="K12" s="195" t="s">
        <v>26</v>
      </c>
      <c r="L12" s="195" t="s">
        <v>426</v>
      </c>
      <c r="M12" s="121" t="s">
        <v>37</v>
      </c>
      <c r="N12" s="196">
        <v>0</v>
      </c>
      <c r="O12" s="200">
        <v>0</v>
      </c>
      <c r="P12" s="200">
        <v>0</v>
      </c>
      <c r="Q12" s="200">
        <v>0</v>
      </c>
      <c r="R12" s="121"/>
      <c r="S12" s="44" t="s">
        <v>403</v>
      </c>
    </row>
    <row r="13" spans="1:19" x14ac:dyDescent="0.2">
      <c r="A13" s="195"/>
      <c r="B13" s="195"/>
      <c r="C13" s="195"/>
      <c r="D13" s="121"/>
      <c r="E13" s="191"/>
      <c r="F13" s="121"/>
      <c r="G13" s="121"/>
      <c r="H13" s="121"/>
      <c r="I13" s="189" t="s">
        <v>419</v>
      </c>
      <c r="J13" s="195" t="s">
        <v>479</v>
      </c>
      <c r="K13" s="195" t="s">
        <v>26</v>
      </c>
      <c r="L13" s="195" t="s">
        <v>426</v>
      </c>
      <c r="M13" s="121" t="s">
        <v>26</v>
      </c>
      <c r="N13" s="199">
        <v>0</v>
      </c>
      <c r="O13" s="198">
        <v>0</v>
      </c>
      <c r="P13" s="198">
        <v>0</v>
      </c>
      <c r="Q13" s="198">
        <v>0</v>
      </c>
      <c r="R13" s="189" t="s">
        <v>419</v>
      </c>
      <c r="S13" s="187" t="s">
        <v>9</v>
      </c>
    </row>
    <row r="14" spans="1:19" ht="15" customHeight="1" x14ac:dyDescent="0.2">
      <c r="A14" s="195"/>
      <c r="B14" s="195"/>
      <c r="C14" s="195"/>
      <c r="D14" s="121"/>
      <c r="E14" s="191"/>
      <c r="F14" s="121"/>
      <c r="G14" s="121"/>
      <c r="H14" s="121"/>
      <c r="I14" s="121"/>
      <c r="J14" s="195" t="s">
        <v>479</v>
      </c>
      <c r="K14" s="195" t="s">
        <v>26</v>
      </c>
      <c r="L14" s="195" t="s">
        <v>426</v>
      </c>
      <c r="M14" s="121" t="s">
        <v>38</v>
      </c>
      <c r="N14" s="196">
        <v>0</v>
      </c>
      <c r="O14" s="200">
        <v>0</v>
      </c>
      <c r="P14" s="200">
        <v>0</v>
      </c>
      <c r="Q14" s="200">
        <v>0</v>
      </c>
      <c r="R14" s="121"/>
      <c r="S14" s="44" t="s">
        <v>404</v>
      </c>
    </row>
    <row r="15" spans="1:19" ht="15" customHeight="1" x14ac:dyDescent="0.2">
      <c r="A15" s="195"/>
      <c r="B15" s="195"/>
      <c r="C15" s="195"/>
      <c r="D15" s="121"/>
      <c r="E15" s="191"/>
      <c r="F15" s="121"/>
      <c r="G15" s="121"/>
      <c r="H15" s="121"/>
      <c r="I15" s="189" t="s">
        <v>51</v>
      </c>
      <c r="J15" s="195" t="s">
        <v>479</v>
      </c>
      <c r="K15" s="195" t="s">
        <v>26</v>
      </c>
      <c r="L15" s="195" t="s">
        <v>426</v>
      </c>
      <c r="M15" s="121" t="s">
        <v>39</v>
      </c>
      <c r="N15" s="199">
        <v>139500</v>
      </c>
      <c r="O15" s="198">
        <v>14</v>
      </c>
      <c r="P15" s="198">
        <v>31</v>
      </c>
      <c r="Q15" s="198">
        <v>27</v>
      </c>
      <c r="R15" s="189" t="s">
        <v>51</v>
      </c>
      <c r="S15" s="187" t="s">
        <v>11</v>
      </c>
    </row>
    <row r="16" spans="1:19" x14ac:dyDescent="0.2">
      <c r="A16" s="195"/>
      <c r="B16" s="195"/>
      <c r="C16" s="195"/>
      <c r="D16" s="121"/>
      <c r="E16" s="191"/>
      <c r="F16" s="121"/>
      <c r="G16" s="121"/>
      <c r="H16" s="121"/>
      <c r="I16" s="189" t="s">
        <v>418</v>
      </c>
      <c r="J16" s="195" t="s">
        <v>479</v>
      </c>
      <c r="K16" s="195" t="s">
        <v>26</v>
      </c>
      <c r="L16" s="195" t="s">
        <v>426</v>
      </c>
      <c r="M16" s="121" t="s">
        <v>40</v>
      </c>
      <c r="N16" s="199">
        <v>0</v>
      </c>
      <c r="O16" s="198">
        <v>0</v>
      </c>
      <c r="P16" s="198">
        <v>0</v>
      </c>
      <c r="Q16" s="198">
        <v>0</v>
      </c>
      <c r="R16" s="189" t="s">
        <v>418</v>
      </c>
      <c r="S16" s="187" t="s">
        <v>405</v>
      </c>
    </row>
    <row r="17" spans="1:19" x14ac:dyDescent="0.2">
      <c r="A17" s="195"/>
      <c r="B17" s="195"/>
      <c r="C17" s="195"/>
      <c r="D17" s="121"/>
      <c r="E17" s="191"/>
      <c r="F17" s="121"/>
      <c r="G17" s="121"/>
      <c r="H17" s="121"/>
      <c r="I17" s="121"/>
      <c r="J17" s="195" t="s">
        <v>479</v>
      </c>
      <c r="K17" s="195" t="s">
        <v>26</v>
      </c>
      <c r="L17" s="195" t="s">
        <v>426</v>
      </c>
      <c r="M17" s="121" t="s">
        <v>41</v>
      </c>
      <c r="N17" s="196">
        <v>0</v>
      </c>
      <c r="O17" s="200">
        <v>0</v>
      </c>
      <c r="P17" s="200">
        <v>0</v>
      </c>
      <c r="Q17" s="200">
        <v>0</v>
      </c>
      <c r="R17" s="121"/>
      <c r="S17" s="44" t="s">
        <v>406</v>
      </c>
    </row>
    <row r="18" spans="1:19" ht="15" customHeight="1" x14ac:dyDescent="0.2">
      <c r="A18" s="195"/>
      <c r="B18" s="195"/>
      <c r="C18" s="195"/>
      <c r="D18" s="121"/>
      <c r="E18" s="191"/>
      <c r="F18" s="121"/>
      <c r="G18" s="121"/>
      <c r="H18" s="121"/>
      <c r="I18" s="189" t="s">
        <v>420</v>
      </c>
      <c r="J18" s="195" t="s">
        <v>479</v>
      </c>
      <c r="K18" s="195" t="s">
        <v>26</v>
      </c>
      <c r="L18" s="195" t="s">
        <v>426</v>
      </c>
      <c r="M18" s="121" t="s">
        <v>42</v>
      </c>
      <c r="N18" s="199">
        <v>0</v>
      </c>
      <c r="O18" s="198">
        <v>0</v>
      </c>
      <c r="P18" s="198">
        <v>0</v>
      </c>
      <c r="Q18" s="198">
        <v>0</v>
      </c>
      <c r="R18" s="189" t="s">
        <v>420</v>
      </c>
      <c r="S18" s="187" t="s">
        <v>376</v>
      </c>
    </row>
    <row r="19" spans="1:19" ht="15" customHeight="1" x14ac:dyDescent="0.2">
      <c r="A19" s="195"/>
      <c r="B19" s="195"/>
      <c r="C19" s="195"/>
      <c r="D19" s="121"/>
      <c r="E19" s="191"/>
      <c r="F19" s="121"/>
      <c r="G19" s="121"/>
      <c r="H19" s="121"/>
      <c r="I19" s="189" t="s">
        <v>416</v>
      </c>
      <c r="J19" s="195" t="s">
        <v>479</v>
      </c>
      <c r="K19" s="195" t="s">
        <v>26</v>
      </c>
      <c r="L19" s="195" t="s">
        <v>426</v>
      </c>
      <c r="M19" s="121" t="s">
        <v>43</v>
      </c>
      <c r="N19" s="199">
        <v>0</v>
      </c>
      <c r="O19" s="198">
        <v>0</v>
      </c>
      <c r="P19" s="198">
        <v>0</v>
      </c>
      <c r="Q19" s="198">
        <v>0</v>
      </c>
      <c r="R19" s="189" t="s">
        <v>416</v>
      </c>
      <c r="S19" s="187" t="s">
        <v>377</v>
      </c>
    </row>
    <row r="20" spans="1:19" x14ac:dyDescent="0.2">
      <c r="A20" s="195"/>
      <c r="B20" s="195"/>
      <c r="C20" s="195"/>
      <c r="D20" s="121"/>
      <c r="E20" s="191"/>
      <c r="F20" s="121"/>
      <c r="G20" s="121"/>
      <c r="H20" s="121"/>
      <c r="I20" s="121"/>
      <c r="J20" s="195" t="s">
        <v>479</v>
      </c>
      <c r="K20" s="195" t="s">
        <v>26</v>
      </c>
      <c r="L20" s="195" t="s">
        <v>426</v>
      </c>
      <c r="M20" s="121" t="s">
        <v>44</v>
      </c>
      <c r="N20" s="196">
        <v>0</v>
      </c>
      <c r="O20" s="200">
        <v>0</v>
      </c>
      <c r="P20" s="200">
        <v>0</v>
      </c>
      <c r="Q20" s="200">
        <v>0</v>
      </c>
      <c r="R20" s="121"/>
      <c r="S20" s="44" t="s">
        <v>15</v>
      </c>
    </row>
    <row r="21" spans="1:19" x14ac:dyDescent="0.2">
      <c r="A21" s="195"/>
      <c r="B21" s="195"/>
      <c r="C21" s="195"/>
      <c r="D21" s="121"/>
      <c r="E21" s="191"/>
      <c r="F21" s="121"/>
      <c r="G21" s="121"/>
      <c r="H21" s="121"/>
      <c r="I21" s="186">
        <v>6</v>
      </c>
      <c r="J21" s="195" t="s">
        <v>479</v>
      </c>
      <c r="K21" s="195" t="s">
        <v>26</v>
      </c>
      <c r="L21" s="195" t="s">
        <v>426</v>
      </c>
      <c r="M21" s="121" t="s">
        <v>45</v>
      </c>
      <c r="N21" s="197">
        <v>1950423.8</v>
      </c>
      <c r="O21" s="198">
        <v>50</v>
      </c>
      <c r="P21" s="198">
        <v>61</v>
      </c>
      <c r="Q21" s="198">
        <v>59</v>
      </c>
      <c r="R21" s="186">
        <v>6</v>
      </c>
      <c r="S21" s="187" t="s">
        <v>16</v>
      </c>
    </row>
    <row r="22" spans="1:19" x14ac:dyDescent="0.2">
      <c r="A22" s="195"/>
      <c r="B22" s="195"/>
      <c r="C22" s="195"/>
      <c r="D22" s="121"/>
      <c r="E22" s="191"/>
      <c r="F22" s="121"/>
      <c r="G22" s="121"/>
      <c r="H22" s="121"/>
      <c r="I22" s="121"/>
      <c r="J22" s="195" t="s">
        <v>479</v>
      </c>
      <c r="K22" s="195" t="s">
        <v>26</v>
      </c>
      <c r="L22" s="195" t="s">
        <v>426</v>
      </c>
      <c r="M22" s="121" t="s">
        <v>46</v>
      </c>
      <c r="N22" s="196">
        <v>0</v>
      </c>
      <c r="O22" s="200">
        <v>0</v>
      </c>
      <c r="P22" s="200">
        <v>0</v>
      </c>
      <c r="Q22" s="200">
        <v>0</v>
      </c>
      <c r="R22" s="121"/>
      <c r="S22" s="44" t="s">
        <v>407</v>
      </c>
    </row>
    <row r="23" spans="1:19" ht="15" customHeight="1" x14ac:dyDescent="0.2">
      <c r="A23" s="195"/>
      <c r="B23" s="195"/>
      <c r="C23" s="195"/>
      <c r="D23" s="121"/>
      <c r="E23" s="191"/>
      <c r="F23" s="121"/>
      <c r="G23" s="121"/>
      <c r="H23" s="121"/>
      <c r="I23" s="186">
        <v>5</v>
      </c>
      <c r="J23" s="195" t="s">
        <v>479</v>
      </c>
      <c r="K23" s="195" t="s">
        <v>26</v>
      </c>
      <c r="L23" s="195" t="s">
        <v>426</v>
      </c>
      <c r="M23" s="121" t="s">
        <v>47</v>
      </c>
      <c r="N23" s="197">
        <v>846855.97</v>
      </c>
      <c r="O23" s="198">
        <v>19</v>
      </c>
      <c r="P23" s="198">
        <v>49</v>
      </c>
      <c r="Q23" s="198">
        <v>45</v>
      </c>
      <c r="R23" s="186">
        <v>5</v>
      </c>
      <c r="S23" s="187" t="s">
        <v>17</v>
      </c>
    </row>
    <row r="24" spans="1:19" ht="15" customHeight="1" x14ac:dyDescent="0.2">
      <c r="A24" s="195"/>
      <c r="B24" s="195"/>
      <c r="C24" s="195"/>
      <c r="D24" s="121"/>
      <c r="E24" s="191"/>
      <c r="F24" s="121"/>
      <c r="G24" s="121"/>
      <c r="H24" s="121"/>
      <c r="I24" s="45"/>
      <c r="J24" s="195" t="s">
        <v>479</v>
      </c>
      <c r="K24" s="195" t="s">
        <v>26</v>
      </c>
      <c r="L24" s="195" t="s">
        <v>426</v>
      </c>
      <c r="M24" s="121" t="s">
        <v>48</v>
      </c>
      <c r="N24" s="196">
        <v>0</v>
      </c>
      <c r="O24" s="200">
        <v>0</v>
      </c>
      <c r="P24" s="200">
        <v>0</v>
      </c>
      <c r="Q24" s="200">
        <v>0</v>
      </c>
      <c r="S24" s="44" t="s">
        <v>407</v>
      </c>
    </row>
    <row r="25" spans="1:19" ht="15" customHeight="1" x14ac:dyDescent="0.2">
      <c r="A25" s="195"/>
      <c r="B25" s="195"/>
      <c r="C25" s="195"/>
      <c r="D25" s="121"/>
      <c r="E25" s="191"/>
      <c r="F25" s="121"/>
      <c r="G25" s="121"/>
      <c r="H25" s="121"/>
      <c r="I25" s="45"/>
      <c r="J25" s="195" t="s">
        <v>479</v>
      </c>
      <c r="K25" s="195" t="s">
        <v>26</v>
      </c>
      <c r="L25" s="195" t="s">
        <v>426</v>
      </c>
      <c r="M25" s="121" t="s">
        <v>319</v>
      </c>
      <c r="N25" s="196">
        <v>0</v>
      </c>
      <c r="O25" s="200">
        <v>0</v>
      </c>
      <c r="P25" s="200">
        <v>0</v>
      </c>
      <c r="Q25" s="200">
        <v>0</v>
      </c>
      <c r="S25" s="44" t="s">
        <v>18</v>
      </c>
    </row>
    <row r="26" spans="1:19" ht="15" customHeight="1" x14ac:dyDescent="0.2">
      <c r="A26" s="195"/>
      <c r="B26" s="195"/>
      <c r="C26" s="195"/>
      <c r="D26" s="121"/>
      <c r="E26" s="191"/>
      <c r="F26" s="121"/>
      <c r="G26" s="121"/>
      <c r="H26" s="121"/>
      <c r="I26" s="190" t="s">
        <v>421</v>
      </c>
      <c r="J26" s="195" t="s">
        <v>479</v>
      </c>
      <c r="K26" s="195" t="s">
        <v>26</v>
      </c>
      <c r="L26" s="195" t="s">
        <v>426</v>
      </c>
      <c r="M26" s="121" t="s">
        <v>320</v>
      </c>
      <c r="N26" s="199">
        <v>0</v>
      </c>
      <c r="O26" s="198">
        <v>0</v>
      </c>
      <c r="P26" s="198">
        <v>0</v>
      </c>
      <c r="Q26" s="198">
        <v>0</v>
      </c>
      <c r="R26" s="190" t="s">
        <v>421</v>
      </c>
      <c r="S26" s="187" t="s">
        <v>358</v>
      </c>
    </row>
    <row r="27" spans="1:19" x14ac:dyDescent="0.2">
      <c r="A27" s="195"/>
      <c r="B27" s="195"/>
      <c r="C27" s="195"/>
      <c r="D27" s="121"/>
      <c r="E27" s="191"/>
      <c r="F27" s="121"/>
      <c r="G27" s="121"/>
      <c r="H27" s="121"/>
      <c r="I27" s="190" t="s">
        <v>415</v>
      </c>
      <c r="J27" s="195" t="s">
        <v>479</v>
      </c>
      <c r="K27" s="195" t="s">
        <v>26</v>
      </c>
      <c r="L27" s="195" t="s">
        <v>426</v>
      </c>
      <c r="M27" s="121" t="s">
        <v>321</v>
      </c>
      <c r="N27" s="199">
        <v>0</v>
      </c>
      <c r="O27" s="198">
        <v>0</v>
      </c>
      <c r="P27" s="198">
        <v>0</v>
      </c>
      <c r="Q27" s="198">
        <v>0</v>
      </c>
      <c r="R27" s="190" t="s">
        <v>415</v>
      </c>
      <c r="S27" s="187" t="s">
        <v>408</v>
      </c>
    </row>
    <row r="28" spans="1:19" x14ac:dyDescent="0.2">
      <c r="A28" s="195"/>
      <c r="B28" s="195"/>
      <c r="C28" s="195"/>
      <c r="D28" s="121"/>
      <c r="E28" s="191"/>
      <c r="F28" s="121"/>
      <c r="G28" s="121"/>
      <c r="H28" s="121"/>
      <c r="J28" s="195" t="s">
        <v>479</v>
      </c>
      <c r="K28" s="195" t="s">
        <v>26</v>
      </c>
      <c r="L28" s="195" t="s">
        <v>426</v>
      </c>
      <c r="M28" s="121" t="s">
        <v>322</v>
      </c>
      <c r="N28" s="196">
        <v>0</v>
      </c>
      <c r="O28" s="200">
        <v>0</v>
      </c>
      <c r="P28" s="200">
        <v>0</v>
      </c>
      <c r="Q28" s="200">
        <v>0</v>
      </c>
      <c r="S28" s="44" t="s">
        <v>215</v>
      </c>
    </row>
    <row r="29" spans="1:19" x14ac:dyDescent="0.2">
      <c r="A29" s="195"/>
      <c r="B29" s="195"/>
      <c r="C29" s="195"/>
      <c r="D29" s="121"/>
      <c r="E29" s="191"/>
      <c r="F29" s="121"/>
      <c r="G29" s="121"/>
      <c r="H29" s="121"/>
      <c r="J29" s="195" t="s">
        <v>479</v>
      </c>
      <c r="K29" s="195" t="s">
        <v>26</v>
      </c>
      <c r="L29" s="195" t="s">
        <v>426</v>
      </c>
      <c r="M29" s="121" t="s">
        <v>391</v>
      </c>
      <c r="N29" s="196">
        <v>0</v>
      </c>
      <c r="O29" s="200">
        <v>0</v>
      </c>
      <c r="P29" s="200">
        <v>0</v>
      </c>
      <c r="Q29" s="200">
        <v>0</v>
      </c>
      <c r="S29" s="44" t="s">
        <v>409</v>
      </c>
    </row>
    <row r="30" spans="1:19" ht="15" customHeight="1" x14ac:dyDescent="0.2">
      <c r="A30" s="195"/>
      <c r="B30" s="195"/>
      <c r="C30" s="195"/>
      <c r="D30" s="121"/>
      <c r="E30" s="191"/>
      <c r="F30" s="121"/>
      <c r="G30" s="121"/>
      <c r="H30" s="121"/>
      <c r="J30" s="195" t="s">
        <v>479</v>
      </c>
      <c r="K30" s="195" t="s">
        <v>26</v>
      </c>
      <c r="L30" s="195" t="s">
        <v>426</v>
      </c>
      <c r="M30" s="121" t="s">
        <v>392</v>
      </c>
      <c r="N30" s="196">
        <v>0</v>
      </c>
      <c r="O30" s="200">
        <v>0</v>
      </c>
      <c r="P30" s="200">
        <v>0</v>
      </c>
      <c r="Q30" s="200">
        <v>0</v>
      </c>
      <c r="S30" s="44" t="s">
        <v>410</v>
      </c>
    </row>
    <row r="31" spans="1:19" x14ac:dyDescent="0.2">
      <c r="A31" s="195"/>
      <c r="B31" s="195"/>
      <c r="C31" s="195"/>
      <c r="D31" s="121"/>
      <c r="E31" s="191"/>
      <c r="F31" s="121"/>
      <c r="G31" s="121"/>
      <c r="H31" s="121"/>
      <c r="J31" s="195" t="s">
        <v>479</v>
      </c>
      <c r="K31" s="195" t="s">
        <v>26</v>
      </c>
      <c r="L31" s="195" t="s">
        <v>426</v>
      </c>
      <c r="M31" s="121" t="s">
        <v>393</v>
      </c>
      <c r="N31" s="196">
        <v>0</v>
      </c>
      <c r="O31" s="200">
        <v>0</v>
      </c>
      <c r="P31" s="200">
        <v>0</v>
      </c>
      <c r="Q31" s="200">
        <v>0</v>
      </c>
      <c r="S31" s="44" t="s">
        <v>411</v>
      </c>
    </row>
    <row r="32" spans="1:19" x14ac:dyDescent="0.2">
      <c r="A32" s="195"/>
      <c r="B32" s="195"/>
      <c r="C32" s="195"/>
      <c r="D32" s="201"/>
      <c r="E32" s="202"/>
      <c r="F32" s="201"/>
      <c r="G32" s="201"/>
      <c r="H32" s="201"/>
      <c r="J32" s="195" t="s">
        <v>479</v>
      </c>
      <c r="K32" s="195" t="s">
        <v>26</v>
      </c>
      <c r="L32" s="195" t="s">
        <v>426</v>
      </c>
      <c r="M32" s="201" t="s">
        <v>394</v>
      </c>
      <c r="N32" s="203">
        <v>15847062.34</v>
      </c>
      <c r="O32" s="204">
        <v>1114</v>
      </c>
      <c r="P32" s="204">
        <v>1024</v>
      </c>
      <c r="Q32" s="204">
        <v>870</v>
      </c>
      <c r="S32" s="185" t="s">
        <v>412</v>
      </c>
    </row>
    <row r="33" spans="1:19" x14ac:dyDescent="0.2">
      <c r="A33" s="195"/>
      <c r="B33" s="195"/>
      <c r="C33" s="195"/>
      <c r="D33" s="121"/>
      <c r="E33" s="191"/>
      <c r="F33" s="121"/>
      <c r="G33" s="121"/>
      <c r="H33" s="121"/>
      <c r="J33" s="195" t="s">
        <v>479</v>
      </c>
      <c r="K33" s="195" t="s">
        <v>26</v>
      </c>
      <c r="L33" s="195" t="s">
        <v>426</v>
      </c>
      <c r="M33" s="121" t="s">
        <v>49</v>
      </c>
      <c r="N33" s="196">
        <v>4800</v>
      </c>
      <c r="O33" s="200">
        <v>0</v>
      </c>
      <c r="P33" s="200">
        <v>0</v>
      </c>
      <c r="Q33" s="200">
        <v>0</v>
      </c>
      <c r="S33" s="44" t="s">
        <v>413</v>
      </c>
    </row>
    <row r="34" spans="1:19" x14ac:dyDescent="0.2">
      <c r="A34" s="195"/>
      <c r="B34" s="195"/>
      <c r="C34" s="195"/>
      <c r="D34" s="121"/>
      <c r="E34" s="191"/>
      <c r="F34" s="121"/>
      <c r="G34" s="121"/>
      <c r="H34" s="121"/>
      <c r="J34" s="195" t="s">
        <v>479</v>
      </c>
      <c r="K34" s="195" t="s">
        <v>26</v>
      </c>
      <c r="L34" s="195" t="s">
        <v>426</v>
      </c>
      <c r="M34" s="121" t="s">
        <v>50</v>
      </c>
      <c r="N34" s="196">
        <v>160</v>
      </c>
      <c r="O34" s="200">
        <v>0</v>
      </c>
      <c r="P34" s="200">
        <v>0</v>
      </c>
      <c r="Q34" s="200">
        <v>0</v>
      </c>
      <c r="S34" s="44" t="s">
        <v>414</v>
      </c>
    </row>
    <row r="35" spans="1:19" x14ac:dyDescent="0.2">
      <c r="D35" s="188" t="s">
        <v>89</v>
      </c>
      <c r="E35" s="192">
        <f>SUM(E3:E6,E21,E23)</f>
        <v>0</v>
      </c>
      <c r="F35" s="186">
        <f>SUM(F3:F6,F21,F23)</f>
        <v>0</v>
      </c>
      <c r="G35" s="186">
        <f>SUM(G3:G6,G21,G23)</f>
        <v>0</v>
      </c>
      <c r="H35" s="186">
        <f>SUM(H3:H6,H21,H23)</f>
        <v>0</v>
      </c>
      <c r="M35" s="188" t="s">
        <v>89</v>
      </c>
      <c r="N35" s="192">
        <f>SUM(N3:N6,N21,N23)</f>
        <v>7693587.9500000002</v>
      </c>
      <c r="O35" s="186">
        <f>SUM(O3:O6,O21,O23)</f>
        <v>514</v>
      </c>
      <c r="P35" s="186">
        <f>SUM(P3:P6,P21,P23)</f>
        <v>459</v>
      </c>
      <c r="Q35" s="186">
        <f>SUM(Q3:Q6,Q21,Q23)</f>
        <v>408</v>
      </c>
    </row>
    <row r="36" spans="1:19" x14ac:dyDescent="0.2">
      <c r="D36" s="45" t="s">
        <v>99</v>
      </c>
      <c r="E36" s="94">
        <f>E3+E4+E5+E6+E21+E23</f>
        <v>0</v>
      </c>
      <c r="F36" s="121">
        <f>F3+F4+F5+F6+F21+F23</f>
        <v>0</v>
      </c>
      <c r="G36" s="121">
        <f>G3+G4+G5+G6+G21+G23</f>
        <v>0</v>
      </c>
      <c r="H36" s="121">
        <f>H3+H4+H5+H6+H21+H23</f>
        <v>0</v>
      </c>
      <c r="M36" s="45" t="s">
        <v>99</v>
      </c>
      <c r="N36" s="94">
        <f>N3+N4+N5+N6+N21+N23</f>
        <v>7693587.9500000002</v>
      </c>
      <c r="O36" s="121">
        <f>O3+O4+O5+O6+O21+O23</f>
        <v>514</v>
      </c>
      <c r="P36" s="121">
        <f>P3+P4+P5+P6+P21+P23</f>
        <v>459</v>
      </c>
      <c r="Q36" s="121">
        <f>Q3+Q4+Q5+Q6+Q21+Q23</f>
        <v>408</v>
      </c>
    </row>
    <row r="37" spans="1:19" x14ac:dyDescent="0.2">
      <c r="D37" s="188" t="s">
        <v>272</v>
      </c>
      <c r="E37" s="192">
        <f>SUM(E3:E6,E15,E21,E23)</f>
        <v>0</v>
      </c>
      <c r="F37" s="186">
        <f>SUM(F3:F6,F15,F21,F23)</f>
        <v>0</v>
      </c>
      <c r="G37" s="186">
        <f>SUM(G3:G6,G15,G21,G23)</f>
        <v>0</v>
      </c>
      <c r="H37" s="186">
        <f>SUM(H3:H6,H15,H21,H23)</f>
        <v>0</v>
      </c>
      <c r="M37" s="188" t="s">
        <v>272</v>
      </c>
      <c r="N37" s="192">
        <f>SUM(N3:N6,N15,N21,N23)</f>
        <v>7833087.9500000002</v>
      </c>
      <c r="O37" s="186">
        <f>SUM(O3:O6,O15,O21,O23)</f>
        <v>528</v>
      </c>
      <c r="P37" s="186">
        <f>SUM(P3:P6,P15,P21,P23)</f>
        <v>490</v>
      </c>
      <c r="Q37" s="186">
        <f>SUM(Q3:Q6,Q15,Q21,Q23)</f>
        <v>435</v>
      </c>
    </row>
    <row r="38" spans="1:19" x14ac:dyDescent="0.2">
      <c r="D38" s="45" t="s">
        <v>99</v>
      </c>
      <c r="E38" s="94">
        <f>E3+E4+E5+E6+E15+E21+E23</f>
        <v>0</v>
      </c>
      <c r="F38" s="121">
        <f>F3+F4+F5+F6+F15+F21+F23</f>
        <v>0</v>
      </c>
      <c r="G38" s="121">
        <f>G3+G4+G5+G6+G15+G21+G23</f>
        <v>0</v>
      </c>
      <c r="H38" s="121">
        <f>H3+H4+H5+H6+H15+H21+H23</f>
        <v>0</v>
      </c>
      <c r="M38" s="45" t="s">
        <v>99</v>
      </c>
      <c r="N38" s="94">
        <f>N3+N4+N5+N6+N15+N21+N23</f>
        <v>7833087.9500000002</v>
      </c>
      <c r="O38" s="121">
        <f>O3+O4+O5+O6+O15+O21+O23</f>
        <v>528</v>
      </c>
      <c r="P38" s="121">
        <f>P3+P4+P5+P6+P15+P21+P23</f>
        <v>490</v>
      </c>
      <c r="Q38" s="121">
        <f>Q3+Q4+Q5+Q6+Q15+Q21+Q23</f>
        <v>435</v>
      </c>
    </row>
    <row r="39" spans="1:19" x14ac:dyDescent="0.2">
      <c r="D39" s="44"/>
      <c r="F39" s="45"/>
      <c r="G39" s="192" t="e">
        <f>SUM(H32)/G32*100</f>
        <v>#DIV/0!</v>
      </c>
      <c r="H39" s="193" t="e">
        <f>SUM(E32)/H32</f>
        <v>#DIV/0!</v>
      </c>
      <c r="P39" s="192">
        <f>SUM(Q32)/P32*100</f>
        <v>84.9609375</v>
      </c>
      <c r="Q39" s="193">
        <f>SUM(N32)/Q32</f>
        <v>18215.014183908046</v>
      </c>
    </row>
    <row r="40" spans="1:19" x14ac:dyDescent="0.2">
      <c r="D40" s="44"/>
      <c r="E40" s="196">
        <f>SUM(E3:E21,E23,E25:E31)</f>
        <v>0</v>
      </c>
      <c r="F40" s="200">
        <f>SUM(F3:F21,F23,F25:F31)</f>
        <v>0</v>
      </c>
      <c r="G40" s="200">
        <f>SUM(G3:G21,G23,G25:G31)</f>
        <v>0</v>
      </c>
      <c r="H40" s="200">
        <f>SUM(H3:H21,H23,H25:H31)</f>
        <v>0</v>
      </c>
      <c r="N40" s="196">
        <f>SUM(N3:N21,N23,N25:N31)</f>
        <v>7923531.1700000009</v>
      </c>
      <c r="O40" s="200">
        <f>SUM(O3:O21,O23,O25:O31)</f>
        <v>557</v>
      </c>
      <c r="P40" s="200">
        <f>SUM(P3:P21,P23,P25:P31)</f>
        <v>512</v>
      </c>
      <c r="Q40" s="200">
        <f>SUM(Q3:Q21,Q23,Q25:Q31)</f>
        <v>435</v>
      </c>
    </row>
    <row r="41" spans="1:19" x14ac:dyDescent="0.2">
      <c r="D41" s="44"/>
      <c r="E41" s="191">
        <f>SUM(E2:E31)</f>
        <v>0</v>
      </c>
      <c r="F41" s="121">
        <f>SUM(F2:F31)</f>
        <v>0</v>
      </c>
      <c r="G41" s="121">
        <f>SUM(G2:G31)</f>
        <v>0</v>
      </c>
      <c r="H41" s="121">
        <f>SUM(H2:H31)</f>
        <v>0</v>
      </c>
      <c r="N41" s="191">
        <f>SUM(N2:N31)</f>
        <v>15847062.340000002</v>
      </c>
      <c r="O41" s="121">
        <f>SUM(O2:O31)</f>
        <v>1114</v>
      </c>
      <c r="P41" s="121">
        <f>SUM(P2:P31)</f>
        <v>1024</v>
      </c>
      <c r="Q41" s="121">
        <f>SUM(Q2:Q31)</f>
        <v>870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B1:K39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44" customWidth="1"/>
    <col min="2" max="2" width="5" style="44" customWidth="1"/>
    <col min="3" max="3" width="66.7109375" style="44" customWidth="1"/>
    <col min="4" max="4" width="10.28515625" style="44" customWidth="1"/>
    <col min="5" max="5" width="10" style="44" customWidth="1"/>
    <col min="6" max="6" width="9.7109375" style="44" customWidth="1"/>
    <col min="7" max="7" width="15.140625" style="44" customWidth="1"/>
    <col min="8" max="8" width="15.28515625" style="44" customWidth="1"/>
    <col min="9" max="9" width="10.7109375" style="44" customWidth="1"/>
    <col min="10" max="10" width="14.140625" style="44" customWidth="1"/>
    <col min="11" max="11" width="13" style="44" customWidth="1"/>
    <col min="12" max="12" width="3.140625" style="44" customWidth="1"/>
    <col min="13" max="16384" width="9.140625" style="44"/>
  </cols>
  <sheetData>
    <row r="1" spans="2:11" x14ac:dyDescent="0.2">
      <c r="B1" s="96" t="s">
        <v>259</v>
      </c>
      <c r="D1" s="45"/>
      <c r="E1" s="45"/>
      <c r="F1" s="45"/>
      <c r="G1" s="382" t="s">
        <v>250</v>
      </c>
      <c r="H1" s="383" t="s">
        <v>248</v>
      </c>
      <c r="I1" s="45"/>
      <c r="J1" s="45"/>
      <c r="K1" s="45"/>
    </row>
    <row r="2" spans="2:11" x14ac:dyDescent="0.2">
      <c r="B2" s="363"/>
      <c r="C2" s="763" t="s">
        <v>296</v>
      </c>
      <c r="D2" s="358"/>
      <c r="E2" s="358"/>
      <c r="F2" s="358"/>
      <c r="G2" s="358"/>
      <c r="H2" s="358"/>
      <c r="I2" s="358"/>
      <c r="J2" s="359"/>
      <c r="K2" s="358"/>
    </row>
    <row r="3" spans="2:11" ht="66" customHeight="1" x14ac:dyDescent="0.2">
      <c r="B3" s="356"/>
      <c r="C3" s="764"/>
      <c r="D3" s="357" t="s">
        <v>102</v>
      </c>
      <c r="E3" s="357" t="s">
        <v>103</v>
      </c>
      <c r="F3" s="357" t="s">
        <v>104</v>
      </c>
      <c r="G3" s="367" t="s">
        <v>105</v>
      </c>
      <c r="H3" s="357" t="s">
        <v>251</v>
      </c>
      <c r="I3" s="357" t="s">
        <v>158</v>
      </c>
      <c r="J3" s="368" t="s">
        <v>177</v>
      </c>
      <c r="K3" s="357" t="s">
        <v>176</v>
      </c>
    </row>
    <row r="4" spans="2:11" x14ac:dyDescent="0.2">
      <c r="B4" s="364" t="s">
        <v>100</v>
      </c>
      <c r="C4" s="764"/>
      <c r="D4" s="357"/>
      <c r="E4" s="357"/>
      <c r="F4" s="357"/>
      <c r="G4" s="357" t="s">
        <v>226</v>
      </c>
      <c r="H4" s="357"/>
      <c r="I4" s="357"/>
      <c r="J4" s="369"/>
      <c r="K4" s="357"/>
    </row>
    <row r="5" spans="2:11" x14ac:dyDescent="0.2">
      <c r="B5" s="365"/>
      <c r="C5" s="765"/>
      <c r="D5" s="361"/>
      <c r="E5" s="361"/>
      <c r="F5" s="361"/>
      <c r="G5" s="361"/>
      <c r="H5" s="361"/>
      <c r="I5" s="361"/>
      <c r="J5" s="362"/>
      <c r="K5" s="361"/>
    </row>
    <row r="6" spans="2:11" x14ac:dyDescent="0.2">
      <c r="B6" s="371">
        <v>1</v>
      </c>
      <c r="C6" s="373" t="s">
        <v>2</v>
      </c>
      <c r="D6" s="51">
        <f>SUM('z18'!F6)</f>
        <v>1873</v>
      </c>
      <c r="E6" s="51">
        <f>SUM('z18'!G6)</f>
        <v>1685</v>
      </c>
      <c r="F6" s="51">
        <f>SUM('z18'!H6)</f>
        <v>1173</v>
      </c>
      <c r="G6" s="374">
        <f>SUM(F6/E6)*100</f>
        <v>69.614243323442139</v>
      </c>
      <c r="H6" s="374">
        <f>SUM(J6/F6)</f>
        <v>4261.3810741687976</v>
      </c>
      <c r="I6" s="374">
        <f>SUM('z18'!E6)</f>
        <v>4998.5999999999995</v>
      </c>
      <c r="J6" s="372">
        <f>SUM(I6*1000)</f>
        <v>4998599.9999999991</v>
      </c>
      <c r="K6" s="374">
        <f>SUM(J6/D6)</f>
        <v>2668.7666844634273</v>
      </c>
    </row>
    <row r="7" spans="2:11" x14ac:dyDescent="0.2">
      <c r="B7" s="125">
        <v>2</v>
      </c>
      <c r="C7" s="338" t="s">
        <v>1</v>
      </c>
      <c r="D7" s="46">
        <f>SUM('z18'!F5)</f>
        <v>12712</v>
      </c>
      <c r="E7" s="46">
        <f>SUM('z18'!G5)</f>
        <v>9501</v>
      </c>
      <c r="F7" s="46">
        <f>SUM('z18'!H5)</f>
        <v>8097</v>
      </c>
      <c r="G7" s="126">
        <f t="shared" ref="G7:G11" si="0">SUM(F7/E7)*100</f>
        <v>85.222608146510893</v>
      </c>
      <c r="H7" s="126">
        <f t="shared" ref="H7:H11" si="1">SUM(J7/F7)</f>
        <v>8422.05755217982</v>
      </c>
      <c r="I7" s="126">
        <f>SUM('z18'!E5)</f>
        <v>68193.399999999994</v>
      </c>
      <c r="J7" s="305">
        <f t="shared" ref="J7:J11" si="2">SUM(I7*1000)</f>
        <v>68193400</v>
      </c>
      <c r="K7" s="126">
        <f>SUM(J7/D7)</f>
        <v>5364.4902454373823</v>
      </c>
    </row>
    <row r="8" spans="2:11" x14ac:dyDescent="0.2">
      <c r="B8" s="125">
        <v>3</v>
      </c>
      <c r="C8" s="338" t="s">
        <v>3</v>
      </c>
      <c r="D8" s="46">
        <f>SUM('z18'!F7)</f>
        <v>5531</v>
      </c>
      <c r="E8" s="46">
        <f>SUM('z18'!G7)</f>
        <v>3836</v>
      </c>
      <c r="F8" s="46">
        <f>SUM('z18'!H7)</f>
        <v>3574</v>
      </c>
      <c r="G8" s="126">
        <f t="shared" si="0"/>
        <v>93.16996871741398</v>
      </c>
      <c r="H8" s="126">
        <f t="shared" si="1"/>
        <v>6443.5086737548954</v>
      </c>
      <c r="I8" s="126">
        <f>SUM('z18'!E7)</f>
        <v>23029.099999999995</v>
      </c>
      <c r="J8" s="305">
        <f t="shared" si="2"/>
        <v>23029099.999999996</v>
      </c>
      <c r="K8" s="126">
        <f>SUM(J8/D8)</f>
        <v>4163.6412945217853</v>
      </c>
    </row>
    <row r="9" spans="2:11" x14ac:dyDescent="0.2">
      <c r="B9" s="125">
        <v>4</v>
      </c>
      <c r="C9" s="338" t="s">
        <v>4</v>
      </c>
      <c r="D9" s="46">
        <f>SUM('z18'!F8)</f>
        <v>2146</v>
      </c>
      <c r="E9" s="46">
        <f>SUM('z18'!G8)</f>
        <v>2000</v>
      </c>
      <c r="F9" s="46">
        <f>SUM('z18'!H8)</f>
        <v>1884</v>
      </c>
      <c r="G9" s="126">
        <f t="shared" si="0"/>
        <v>94.199999999999989</v>
      </c>
      <c r="H9" s="126">
        <f>SUM(J9/F9)</f>
        <v>10670.329087048833</v>
      </c>
      <c r="I9" s="126">
        <f>SUM('z18'!E8)</f>
        <v>20102.900000000001</v>
      </c>
      <c r="J9" s="305">
        <f t="shared" si="2"/>
        <v>20102900</v>
      </c>
      <c r="K9" s="126">
        <f t="shared" ref="K9:K11" si="3">SUM(J9/D9)</f>
        <v>9367.6141658900287</v>
      </c>
    </row>
    <row r="10" spans="2:11" x14ac:dyDescent="0.2">
      <c r="B10" s="125">
        <v>5</v>
      </c>
      <c r="C10" s="338" t="s">
        <v>56</v>
      </c>
      <c r="D10" s="46">
        <f>SUM('z18'!F22)</f>
        <v>2474</v>
      </c>
      <c r="E10" s="46">
        <f>SUM('z18'!G22)</f>
        <v>2600</v>
      </c>
      <c r="F10" s="46">
        <f>SUM('z18'!H22)</f>
        <v>2521</v>
      </c>
      <c r="G10" s="126">
        <f t="shared" si="0"/>
        <v>96.961538461538467</v>
      </c>
      <c r="H10" s="126">
        <f>SUM(J10/F10)</f>
        <v>20176.834589448634</v>
      </c>
      <c r="I10" s="126">
        <f>SUM('z18'!E22)</f>
        <v>50865.80000000001</v>
      </c>
      <c r="J10" s="305">
        <f t="shared" si="2"/>
        <v>50865800.000000007</v>
      </c>
      <c r="K10" s="126">
        <f t="shared" si="3"/>
        <v>20560.145513338724</v>
      </c>
    </row>
    <row r="11" spans="2:11" ht="15.75" customHeight="1" x14ac:dyDescent="0.2">
      <c r="B11" s="333">
        <v>6</v>
      </c>
      <c r="C11" s="339" t="s">
        <v>57</v>
      </c>
      <c r="D11" s="52">
        <f>SUM('z18'!F24)</f>
        <v>1931</v>
      </c>
      <c r="E11" s="52">
        <f>SUM('z18'!G24)</f>
        <v>2590</v>
      </c>
      <c r="F11" s="52">
        <f>SUM('z18'!H24)</f>
        <v>2337</v>
      </c>
      <c r="G11" s="354">
        <f t="shared" si="0"/>
        <v>90.231660231660229</v>
      </c>
      <c r="H11" s="354">
        <f t="shared" si="1"/>
        <v>17196.576807873338</v>
      </c>
      <c r="I11" s="354">
        <f>SUM('z18'!E24)</f>
        <v>40188.399999999994</v>
      </c>
      <c r="J11" s="336">
        <f t="shared" si="2"/>
        <v>40188399.999999993</v>
      </c>
      <c r="K11" s="354">
        <f t="shared" si="3"/>
        <v>20812.221646815116</v>
      </c>
    </row>
    <row r="12" spans="2:11" ht="15.75" customHeight="1" x14ac:dyDescent="0.2">
      <c r="B12" s="333">
        <v>7</v>
      </c>
      <c r="C12" s="339" t="s">
        <v>11</v>
      </c>
      <c r="D12" s="52">
        <f>SUM('z18'!F17)</f>
        <v>1263</v>
      </c>
      <c r="E12" s="52">
        <f>SUM('z18'!G17)</f>
        <v>1287</v>
      </c>
      <c r="F12" s="52">
        <f>SUM('z18'!H17)</f>
        <v>1196</v>
      </c>
      <c r="G12" s="354">
        <f>SUM(F12/E12)*100</f>
        <v>92.929292929292927</v>
      </c>
      <c r="H12" s="354">
        <f>SUM(J12/F12)</f>
        <v>7808.4448160535121</v>
      </c>
      <c r="I12" s="354">
        <f>SUM('z18'!E17)</f>
        <v>9338.9</v>
      </c>
      <c r="J12" s="336">
        <f>SUM(I12*1000)</f>
        <v>9338900</v>
      </c>
      <c r="K12" s="354">
        <f>SUM(J12/D12)</f>
        <v>7394.2201108471891</v>
      </c>
    </row>
    <row r="13" spans="2:11" x14ac:dyDescent="0.2">
      <c r="B13" s="386">
        <v>8</v>
      </c>
      <c r="C13" s="387" t="s">
        <v>280</v>
      </c>
      <c r="D13" s="388">
        <f>SUM(D6:D11)</f>
        <v>26667</v>
      </c>
      <c r="E13" s="388">
        <f>SUM(E6:E11)</f>
        <v>22212</v>
      </c>
      <c r="F13" s="388">
        <f>SUM(F6:F11)</f>
        <v>19586</v>
      </c>
      <c r="G13" s="389">
        <f>SUM(F13/E13)*100</f>
        <v>88.177561678372058</v>
      </c>
      <c r="H13" s="390">
        <f>SUM(J13/F13)</f>
        <v>10588.083324823854</v>
      </c>
      <c r="I13" s="389">
        <f>SUM(I6:I11)</f>
        <v>207378.2</v>
      </c>
      <c r="J13" s="391">
        <f>SUM(I13*1000)</f>
        <v>207378200</v>
      </c>
      <c r="K13" s="390">
        <f>SUM(J13/D13)</f>
        <v>7776.5852926838415</v>
      </c>
    </row>
    <row r="14" spans="2:11" x14ac:dyDescent="0.2">
      <c r="B14" s="335">
        <v>9</v>
      </c>
      <c r="C14" s="338" t="s">
        <v>284</v>
      </c>
      <c r="D14" s="46">
        <f>SUM(D6:D12)</f>
        <v>27930</v>
      </c>
      <c r="E14" s="46">
        <f>SUM(E6:E12)</f>
        <v>23499</v>
      </c>
      <c r="F14" s="46">
        <f>SUM(F6:F12)</f>
        <v>20782</v>
      </c>
      <c r="G14" s="126">
        <f>SUM(F14/E14)*100</f>
        <v>88.437805864079323</v>
      </c>
      <c r="H14" s="127">
        <f>SUM(J14/F14)</f>
        <v>10428.115677028198</v>
      </c>
      <c r="I14" s="126">
        <f>SUM(I6:I12)</f>
        <v>216717.1</v>
      </c>
      <c r="J14" s="305">
        <f>SUM(I14*1000)</f>
        <v>216717100</v>
      </c>
      <c r="K14" s="126">
        <f>SUM(J14/D14)</f>
        <v>7759.2946652345145</v>
      </c>
    </row>
    <row r="16" spans="2:11" x14ac:dyDescent="0.2">
      <c r="D16" s="475">
        <v>84875.916666666672</v>
      </c>
      <c r="I16" s="49"/>
      <c r="J16" s="48"/>
    </row>
    <row r="17" spans="4:10" x14ac:dyDescent="0.2">
      <c r="D17" s="94">
        <f>SUM(D13)/D16*100</f>
        <v>31.418806473371419</v>
      </c>
      <c r="I17" s="49"/>
      <c r="J17" s="50"/>
    </row>
    <row r="18" spans="4:10" ht="12.75" customHeight="1" x14ac:dyDescent="0.2">
      <c r="D18" s="94">
        <f>SUM(D6:D11)</f>
        <v>26667</v>
      </c>
    </row>
    <row r="19" spans="4:10" x14ac:dyDescent="0.2">
      <c r="D19" s="94">
        <f>SUM(E6:E11)</f>
        <v>22212</v>
      </c>
      <c r="G19" s="47"/>
    </row>
    <row r="20" spans="4:10" x14ac:dyDescent="0.2">
      <c r="D20" s="94">
        <f>SUM(D19)/D18*100</f>
        <v>83.293958825514679</v>
      </c>
      <c r="G20" s="47"/>
    </row>
    <row r="21" spans="4:10" ht="16.5" customHeight="1" x14ac:dyDescent="0.2">
      <c r="D21" s="94">
        <f>SUM(D7)/D13*100</f>
        <v>47.669404132448342</v>
      </c>
      <c r="G21" s="47"/>
    </row>
    <row r="22" spans="4:10" ht="15" customHeight="1" x14ac:dyDescent="0.2">
      <c r="F22" s="47"/>
      <c r="G22" s="47"/>
    </row>
    <row r="23" spans="4:10" ht="15" customHeight="1" x14ac:dyDescent="0.2">
      <c r="G23" s="47"/>
    </row>
    <row r="24" spans="4:10" ht="18.75" customHeight="1" x14ac:dyDescent="0.2">
      <c r="G24" s="47"/>
    </row>
    <row r="25" spans="4:10" ht="15.75" customHeight="1" x14ac:dyDescent="0.2">
      <c r="G25" s="47"/>
    </row>
    <row r="26" spans="4:10" ht="18" customHeight="1" x14ac:dyDescent="0.2"/>
    <row r="27" spans="4:10" ht="15" customHeight="1" x14ac:dyDescent="0.2"/>
    <row r="32" spans="4:10" ht="15" customHeight="1" x14ac:dyDescent="0.2"/>
    <row r="35" ht="15" customHeight="1" x14ac:dyDescent="0.2"/>
    <row r="36" ht="18.75" customHeight="1" x14ac:dyDescent="0.2"/>
    <row r="37" ht="15.75" customHeight="1" x14ac:dyDescent="0.2"/>
    <row r="38" ht="14.25" customHeight="1" x14ac:dyDescent="0.2"/>
    <row r="39" ht="12" customHeight="1" x14ac:dyDescent="0.2"/>
  </sheetData>
  <mergeCells count="1">
    <mergeCell ref="C2:C5"/>
  </mergeCells>
  <pageMargins left="0.7" right="0.7" top="0.75" bottom="0.75" header="0.3" footer="0.3"/>
  <pageSetup paperSize="9" scale="78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Arkusz44">
    <tabColor theme="0"/>
  </sheetPr>
  <dimension ref="A1:S41"/>
  <sheetViews>
    <sheetView zoomScale="80" zoomScaleNormal="80" workbookViewId="0">
      <selection activeCell="J2" sqref="J2:Q34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195" t="s">
        <v>22</v>
      </c>
      <c r="B1" s="195" t="s">
        <v>23</v>
      </c>
      <c r="C1" s="195" t="s">
        <v>24</v>
      </c>
      <c r="D1" s="121" t="s">
        <v>25</v>
      </c>
      <c r="E1" s="193" t="s">
        <v>387</v>
      </c>
      <c r="F1" s="191" t="s">
        <v>388</v>
      </c>
      <c r="G1" s="191" t="s">
        <v>389</v>
      </c>
      <c r="H1" s="191" t="s">
        <v>390</v>
      </c>
      <c r="J1" s="195" t="s">
        <v>22</v>
      </c>
      <c r="K1" s="195" t="s">
        <v>23</v>
      </c>
      <c r="L1" s="195" t="s">
        <v>24</v>
      </c>
      <c r="M1" s="121" t="s">
        <v>25</v>
      </c>
      <c r="N1" s="193" t="s">
        <v>387</v>
      </c>
      <c r="O1" s="191" t="s">
        <v>388</v>
      </c>
      <c r="P1" s="191" t="s">
        <v>389</v>
      </c>
      <c r="Q1" s="191" t="s">
        <v>390</v>
      </c>
    </row>
    <row r="2" spans="1:19" ht="15" customHeight="1" x14ac:dyDescent="0.2">
      <c r="A2" s="195"/>
      <c r="B2" s="195"/>
      <c r="C2" s="195"/>
      <c r="D2" s="121"/>
      <c r="E2" s="191"/>
      <c r="F2" s="121"/>
      <c r="G2" s="121"/>
      <c r="H2" s="121"/>
      <c r="J2" s="195" t="s">
        <v>479</v>
      </c>
      <c r="K2" s="195" t="s">
        <v>26</v>
      </c>
      <c r="L2" s="195" t="s">
        <v>425</v>
      </c>
      <c r="M2" s="121" t="s">
        <v>27</v>
      </c>
      <c r="N2" s="196">
        <v>14176643.34</v>
      </c>
      <c r="O2" s="200">
        <v>1071</v>
      </c>
      <c r="P2" s="200">
        <v>779</v>
      </c>
      <c r="Q2" s="200">
        <v>679</v>
      </c>
      <c r="S2" s="44" t="s">
        <v>395</v>
      </c>
    </row>
    <row r="3" spans="1:19" x14ac:dyDescent="0.2">
      <c r="A3" s="195"/>
      <c r="B3" s="195"/>
      <c r="C3" s="195"/>
      <c r="D3" s="121"/>
      <c r="E3" s="191"/>
      <c r="F3" s="121"/>
      <c r="G3" s="121"/>
      <c r="H3" s="121"/>
      <c r="I3" s="186">
        <v>1</v>
      </c>
      <c r="J3" s="195" t="s">
        <v>479</v>
      </c>
      <c r="K3" s="195" t="s">
        <v>26</v>
      </c>
      <c r="L3" s="195" t="s">
        <v>425</v>
      </c>
      <c r="M3" s="121" t="s">
        <v>28</v>
      </c>
      <c r="N3" s="197">
        <v>3688616.29</v>
      </c>
      <c r="O3" s="198">
        <v>341</v>
      </c>
      <c r="P3" s="198">
        <v>284</v>
      </c>
      <c r="Q3" s="198">
        <v>241</v>
      </c>
      <c r="R3" s="186">
        <v>1</v>
      </c>
      <c r="S3" s="187" t="s">
        <v>396</v>
      </c>
    </row>
    <row r="4" spans="1:19" x14ac:dyDescent="0.2">
      <c r="A4" s="195"/>
      <c r="B4" s="195"/>
      <c r="C4" s="195"/>
      <c r="D4" s="121"/>
      <c r="E4" s="191"/>
      <c r="F4" s="121"/>
      <c r="G4" s="121"/>
      <c r="H4" s="121"/>
      <c r="I4" s="186">
        <v>2</v>
      </c>
      <c r="J4" s="195" t="s">
        <v>479</v>
      </c>
      <c r="K4" s="195" t="s">
        <v>26</v>
      </c>
      <c r="L4" s="195" t="s">
        <v>425</v>
      </c>
      <c r="M4" s="121" t="s">
        <v>29</v>
      </c>
      <c r="N4" s="197">
        <v>594782.68999999994</v>
      </c>
      <c r="O4" s="198">
        <v>165</v>
      </c>
      <c r="P4" s="198">
        <v>69</v>
      </c>
      <c r="Q4" s="198">
        <v>44</v>
      </c>
      <c r="R4" s="186">
        <v>2</v>
      </c>
      <c r="S4" s="187" t="s">
        <v>397</v>
      </c>
    </row>
    <row r="5" spans="1:19" x14ac:dyDescent="0.2">
      <c r="A5" s="195"/>
      <c r="B5" s="195"/>
      <c r="C5" s="195"/>
      <c r="D5" s="121"/>
      <c r="E5" s="191"/>
      <c r="F5" s="121"/>
      <c r="G5" s="121"/>
      <c r="H5" s="121"/>
      <c r="I5" s="186">
        <v>3</v>
      </c>
      <c r="J5" s="195" t="s">
        <v>479</v>
      </c>
      <c r="K5" s="195" t="s">
        <v>26</v>
      </c>
      <c r="L5" s="195" t="s">
        <v>425</v>
      </c>
      <c r="M5" s="121" t="s">
        <v>30</v>
      </c>
      <c r="N5" s="197">
        <v>2334319.83</v>
      </c>
      <c r="O5" s="198">
        <v>224</v>
      </c>
      <c r="P5" s="198">
        <v>135</v>
      </c>
      <c r="Q5" s="198">
        <v>135</v>
      </c>
      <c r="R5" s="186">
        <v>3</v>
      </c>
      <c r="S5" s="187" t="s">
        <v>399</v>
      </c>
    </row>
    <row r="6" spans="1:19" x14ac:dyDescent="0.2">
      <c r="A6" s="195"/>
      <c r="B6" s="195"/>
      <c r="C6" s="195"/>
      <c r="D6" s="121"/>
      <c r="E6" s="191"/>
      <c r="F6" s="121"/>
      <c r="G6" s="121"/>
      <c r="H6" s="121"/>
      <c r="I6" s="186">
        <v>4</v>
      </c>
      <c r="J6" s="195" t="s">
        <v>479</v>
      </c>
      <c r="K6" s="195" t="s">
        <v>26</v>
      </c>
      <c r="L6" s="195" t="s">
        <v>425</v>
      </c>
      <c r="M6" s="121" t="s">
        <v>31</v>
      </c>
      <c r="N6" s="197">
        <v>3049260.01</v>
      </c>
      <c r="O6" s="198">
        <v>180</v>
      </c>
      <c r="P6" s="198">
        <v>117</v>
      </c>
      <c r="Q6" s="198">
        <v>115</v>
      </c>
      <c r="R6" s="186">
        <v>4</v>
      </c>
      <c r="S6" s="187" t="s">
        <v>398</v>
      </c>
    </row>
    <row r="7" spans="1:19" x14ac:dyDescent="0.2">
      <c r="A7" s="195"/>
      <c r="B7" s="195"/>
      <c r="C7" s="195"/>
      <c r="D7" s="121"/>
      <c r="E7" s="191"/>
      <c r="F7" s="121"/>
      <c r="G7" s="121"/>
      <c r="H7" s="121"/>
      <c r="I7" s="189" t="s">
        <v>417</v>
      </c>
      <c r="J7" s="195" t="s">
        <v>479</v>
      </c>
      <c r="K7" s="195" t="s">
        <v>26</v>
      </c>
      <c r="L7" s="195" t="s">
        <v>425</v>
      </c>
      <c r="M7" s="121" t="s">
        <v>32</v>
      </c>
      <c r="N7" s="199">
        <v>47872.800000000003</v>
      </c>
      <c r="O7" s="198">
        <v>25</v>
      </c>
      <c r="P7" s="198">
        <v>21</v>
      </c>
      <c r="Q7" s="198">
        <v>0</v>
      </c>
      <c r="R7" s="189" t="s">
        <v>417</v>
      </c>
      <c r="S7" s="187" t="s">
        <v>400</v>
      </c>
    </row>
    <row r="8" spans="1:19" x14ac:dyDescent="0.2">
      <c r="A8" s="195"/>
      <c r="B8" s="195"/>
      <c r="C8" s="195"/>
      <c r="D8" s="121"/>
      <c r="E8" s="191"/>
      <c r="F8" s="121"/>
      <c r="G8" s="121"/>
      <c r="H8" s="121"/>
      <c r="I8" s="121"/>
      <c r="J8" s="195" t="s">
        <v>479</v>
      </c>
      <c r="K8" s="195" t="s">
        <v>26</v>
      </c>
      <c r="L8" s="195" t="s">
        <v>425</v>
      </c>
      <c r="M8" s="121" t="s">
        <v>33</v>
      </c>
      <c r="N8" s="196">
        <v>0</v>
      </c>
      <c r="O8" s="200">
        <v>0</v>
      </c>
      <c r="P8" s="200">
        <v>0</v>
      </c>
      <c r="Q8" s="200">
        <v>0</v>
      </c>
      <c r="R8" s="121"/>
      <c r="S8" s="44" t="s">
        <v>401</v>
      </c>
    </row>
    <row r="9" spans="1:19" x14ac:dyDescent="0.2">
      <c r="A9" s="195"/>
      <c r="B9" s="195"/>
      <c r="C9" s="195"/>
      <c r="D9" s="121"/>
      <c r="E9" s="191"/>
      <c r="F9" s="121"/>
      <c r="G9" s="121"/>
      <c r="H9" s="121"/>
      <c r="I9" s="121"/>
      <c r="J9" s="195" t="s">
        <v>479</v>
      </c>
      <c r="K9" s="195" t="s">
        <v>26</v>
      </c>
      <c r="L9" s="195" t="s">
        <v>425</v>
      </c>
      <c r="M9" s="121" t="s">
        <v>34</v>
      </c>
      <c r="N9" s="196">
        <v>0</v>
      </c>
      <c r="O9" s="200">
        <v>0</v>
      </c>
      <c r="P9" s="200">
        <v>0</v>
      </c>
      <c r="Q9" s="200">
        <v>0</v>
      </c>
      <c r="R9" s="121"/>
      <c r="S9" s="44" t="s">
        <v>6</v>
      </c>
    </row>
    <row r="10" spans="1:19" ht="15" customHeight="1" x14ac:dyDescent="0.2">
      <c r="A10" s="195"/>
      <c r="B10" s="195"/>
      <c r="C10" s="195"/>
      <c r="D10" s="121"/>
      <c r="E10" s="191"/>
      <c r="F10" s="121"/>
      <c r="G10" s="121"/>
      <c r="H10" s="121"/>
      <c r="I10" s="121"/>
      <c r="J10" s="195" t="s">
        <v>479</v>
      </c>
      <c r="K10" s="195" t="s">
        <v>26</v>
      </c>
      <c r="L10" s="195" t="s">
        <v>425</v>
      </c>
      <c r="M10" s="121" t="s">
        <v>35</v>
      </c>
      <c r="N10" s="196">
        <v>0</v>
      </c>
      <c r="O10" s="200">
        <v>0</v>
      </c>
      <c r="P10" s="200">
        <v>0</v>
      </c>
      <c r="Q10" s="200">
        <v>0</v>
      </c>
      <c r="R10" s="121"/>
      <c r="S10" s="44" t="s">
        <v>402</v>
      </c>
    </row>
    <row r="11" spans="1:19" ht="15" customHeight="1" x14ac:dyDescent="0.2">
      <c r="A11" s="195"/>
      <c r="B11" s="195"/>
      <c r="C11" s="195"/>
      <c r="D11" s="121"/>
      <c r="E11" s="191"/>
      <c r="F11" s="121"/>
      <c r="G11" s="121"/>
      <c r="H11" s="121"/>
      <c r="I11" s="121"/>
      <c r="J11" s="195" t="s">
        <v>479</v>
      </c>
      <c r="K11" s="195" t="s">
        <v>26</v>
      </c>
      <c r="L11" s="195" t="s">
        <v>425</v>
      </c>
      <c r="M11" s="121" t="s">
        <v>36</v>
      </c>
      <c r="N11" s="196">
        <v>0</v>
      </c>
      <c r="O11" s="200">
        <v>0</v>
      </c>
      <c r="P11" s="200">
        <v>0</v>
      </c>
      <c r="Q11" s="200">
        <v>0</v>
      </c>
      <c r="R11" s="121"/>
      <c r="S11" s="44" t="s">
        <v>8</v>
      </c>
    </row>
    <row r="12" spans="1:19" x14ac:dyDescent="0.2">
      <c r="A12" s="195"/>
      <c r="B12" s="195"/>
      <c r="C12" s="195"/>
      <c r="D12" s="121"/>
      <c r="E12" s="191"/>
      <c r="F12" s="121"/>
      <c r="G12" s="121"/>
      <c r="H12" s="121"/>
      <c r="I12" s="121"/>
      <c r="J12" s="195" t="s">
        <v>479</v>
      </c>
      <c r="K12" s="195" t="s">
        <v>26</v>
      </c>
      <c r="L12" s="195" t="s">
        <v>425</v>
      </c>
      <c r="M12" s="121" t="s">
        <v>37</v>
      </c>
      <c r="N12" s="196">
        <v>0</v>
      </c>
      <c r="O12" s="200">
        <v>0</v>
      </c>
      <c r="P12" s="200">
        <v>0</v>
      </c>
      <c r="Q12" s="200">
        <v>0</v>
      </c>
      <c r="R12" s="121"/>
      <c r="S12" s="44" t="s">
        <v>403</v>
      </c>
    </row>
    <row r="13" spans="1:19" x14ac:dyDescent="0.2">
      <c r="A13" s="195"/>
      <c r="B13" s="195"/>
      <c r="C13" s="195"/>
      <c r="D13" s="121"/>
      <c r="E13" s="191"/>
      <c r="F13" s="121"/>
      <c r="G13" s="121"/>
      <c r="H13" s="121"/>
      <c r="I13" s="189" t="s">
        <v>419</v>
      </c>
      <c r="J13" s="195" t="s">
        <v>479</v>
      </c>
      <c r="K13" s="195" t="s">
        <v>26</v>
      </c>
      <c r="L13" s="195" t="s">
        <v>425</v>
      </c>
      <c r="M13" s="121" t="s">
        <v>26</v>
      </c>
      <c r="N13" s="199">
        <v>18797.02</v>
      </c>
      <c r="O13" s="198">
        <v>12</v>
      </c>
      <c r="P13" s="198">
        <v>5</v>
      </c>
      <c r="Q13" s="198">
        <v>5</v>
      </c>
      <c r="R13" s="189" t="s">
        <v>419</v>
      </c>
      <c r="S13" s="187" t="s">
        <v>9</v>
      </c>
    </row>
    <row r="14" spans="1:19" ht="15" customHeight="1" x14ac:dyDescent="0.2">
      <c r="A14" s="195"/>
      <c r="B14" s="195"/>
      <c r="C14" s="195"/>
      <c r="D14" s="121"/>
      <c r="E14" s="191"/>
      <c r="F14" s="121"/>
      <c r="G14" s="121"/>
      <c r="H14" s="121"/>
      <c r="I14" s="121"/>
      <c r="J14" s="195" t="s">
        <v>479</v>
      </c>
      <c r="K14" s="195" t="s">
        <v>26</v>
      </c>
      <c r="L14" s="195" t="s">
        <v>425</v>
      </c>
      <c r="M14" s="121" t="s">
        <v>38</v>
      </c>
      <c r="N14" s="196">
        <v>0</v>
      </c>
      <c r="O14" s="200">
        <v>0</v>
      </c>
      <c r="P14" s="200">
        <v>0</v>
      </c>
      <c r="Q14" s="200">
        <v>0</v>
      </c>
      <c r="R14" s="121"/>
      <c r="S14" s="44" t="s">
        <v>404</v>
      </c>
    </row>
    <row r="15" spans="1:19" ht="15" customHeight="1" x14ac:dyDescent="0.2">
      <c r="A15" s="195"/>
      <c r="B15" s="195"/>
      <c r="C15" s="195"/>
      <c r="D15" s="121"/>
      <c r="E15" s="191"/>
      <c r="F15" s="121"/>
      <c r="G15" s="121"/>
      <c r="H15" s="121"/>
      <c r="I15" s="189" t="s">
        <v>51</v>
      </c>
      <c r="J15" s="195" t="s">
        <v>479</v>
      </c>
      <c r="K15" s="195" t="s">
        <v>26</v>
      </c>
      <c r="L15" s="195" t="s">
        <v>425</v>
      </c>
      <c r="M15" s="121" t="s">
        <v>39</v>
      </c>
      <c r="N15" s="199">
        <v>252000</v>
      </c>
      <c r="O15" s="198">
        <v>21</v>
      </c>
      <c r="P15" s="198">
        <v>18</v>
      </c>
      <c r="Q15" s="198">
        <v>16</v>
      </c>
      <c r="R15" s="189" t="s">
        <v>51</v>
      </c>
      <c r="S15" s="187" t="s">
        <v>11</v>
      </c>
    </row>
    <row r="16" spans="1:19" x14ac:dyDescent="0.2">
      <c r="A16" s="195"/>
      <c r="B16" s="195"/>
      <c r="C16" s="195"/>
      <c r="D16" s="121"/>
      <c r="E16" s="191"/>
      <c r="F16" s="121"/>
      <c r="G16" s="121"/>
      <c r="H16" s="121"/>
      <c r="I16" s="189" t="s">
        <v>418</v>
      </c>
      <c r="J16" s="195" t="s">
        <v>479</v>
      </c>
      <c r="K16" s="195" t="s">
        <v>26</v>
      </c>
      <c r="L16" s="195" t="s">
        <v>425</v>
      </c>
      <c r="M16" s="121" t="s">
        <v>40</v>
      </c>
      <c r="N16" s="199">
        <v>0</v>
      </c>
      <c r="O16" s="198">
        <v>0</v>
      </c>
      <c r="P16" s="198">
        <v>0</v>
      </c>
      <c r="Q16" s="198">
        <v>0</v>
      </c>
      <c r="R16" s="189" t="s">
        <v>418</v>
      </c>
      <c r="S16" s="187" t="s">
        <v>405</v>
      </c>
    </row>
    <row r="17" spans="1:19" x14ac:dyDescent="0.2">
      <c r="A17" s="195"/>
      <c r="B17" s="195"/>
      <c r="C17" s="195"/>
      <c r="D17" s="121"/>
      <c r="E17" s="191"/>
      <c r="F17" s="121"/>
      <c r="G17" s="121"/>
      <c r="H17" s="121"/>
      <c r="I17" s="121"/>
      <c r="J17" s="195" t="s">
        <v>479</v>
      </c>
      <c r="K17" s="195" t="s">
        <v>26</v>
      </c>
      <c r="L17" s="195" t="s">
        <v>425</v>
      </c>
      <c r="M17" s="121" t="s">
        <v>41</v>
      </c>
      <c r="N17" s="196">
        <v>0</v>
      </c>
      <c r="O17" s="200">
        <v>0</v>
      </c>
      <c r="P17" s="200">
        <v>0</v>
      </c>
      <c r="Q17" s="200">
        <v>0</v>
      </c>
      <c r="R17" s="121"/>
      <c r="S17" s="44" t="s">
        <v>406</v>
      </c>
    </row>
    <row r="18" spans="1:19" ht="15" customHeight="1" x14ac:dyDescent="0.2">
      <c r="A18" s="195"/>
      <c r="B18" s="195"/>
      <c r="C18" s="195"/>
      <c r="D18" s="121"/>
      <c r="E18" s="191"/>
      <c r="F18" s="121"/>
      <c r="G18" s="121"/>
      <c r="H18" s="121"/>
      <c r="I18" s="189" t="s">
        <v>420</v>
      </c>
      <c r="J18" s="195" t="s">
        <v>479</v>
      </c>
      <c r="K18" s="195" t="s">
        <v>26</v>
      </c>
      <c r="L18" s="195" t="s">
        <v>425</v>
      </c>
      <c r="M18" s="121" t="s">
        <v>42</v>
      </c>
      <c r="N18" s="199">
        <v>0</v>
      </c>
      <c r="O18" s="198">
        <v>0</v>
      </c>
      <c r="P18" s="198">
        <v>0</v>
      </c>
      <c r="Q18" s="198">
        <v>0</v>
      </c>
      <c r="R18" s="189" t="s">
        <v>420</v>
      </c>
      <c r="S18" s="187" t="s">
        <v>376</v>
      </c>
    </row>
    <row r="19" spans="1:19" ht="15" customHeight="1" x14ac:dyDescent="0.2">
      <c r="A19" s="195"/>
      <c r="B19" s="195"/>
      <c r="C19" s="195"/>
      <c r="D19" s="121"/>
      <c r="E19" s="191"/>
      <c r="F19" s="121"/>
      <c r="G19" s="121"/>
      <c r="H19" s="121"/>
      <c r="I19" s="189" t="s">
        <v>416</v>
      </c>
      <c r="J19" s="195" t="s">
        <v>479</v>
      </c>
      <c r="K19" s="195" t="s">
        <v>26</v>
      </c>
      <c r="L19" s="195" t="s">
        <v>425</v>
      </c>
      <c r="M19" s="121" t="s">
        <v>43</v>
      </c>
      <c r="N19" s="199">
        <v>0</v>
      </c>
      <c r="O19" s="198">
        <v>0</v>
      </c>
      <c r="P19" s="198">
        <v>0</v>
      </c>
      <c r="Q19" s="198">
        <v>0</v>
      </c>
      <c r="R19" s="189" t="s">
        <v>416</v>
      </c>
      <c r="S19" s="187" t="s">
        <v>377</v>
      </c>
    </row>
    <row r="20" spans="1:19" x14ac:dyDescent="0.2">
      <c r="A20" s="195"/>
      <c r="B20" s="195"/>
      <c r="C20" s="195"/>
      <c r="D20" s="121"/>
      <c r="E20" s="191"/>
      <c r="F20" s="121"/>
      <c r="G20" s="121"/>
      <c r="H20" s="121"/>
      <c r="I20" s="121"/>
      <c r="J20" s="195" t="s">
        <v>479</v>
      </c>
      <c r="K20" s="195" t="s">
        <v>26</v>
      </c>
      <c r="L20" s="195" t="s">
        <v>425</v>
      </c>
      <c r="M20" s="121" t="s">
        <v>44</v>
      </c>
      <c r="N20" s="196">
        <v>0</v>
      </c>
      <c r="O20" s="200">
        <v>0</v>
      </c>
      <c r="P20" s="200">
        <v>0</v>
      </c>
      <c r="Q20" s="200">
        <v>0</v>
      </c>
      <c r="R20" s="121"/>
      <c r="S20" s="44" t="s">
        <v>15</v>
      </c>
    </row>
    <row r="21" spans="1:19" x14ac:dyDescent="0.2">
      <c r="A21" s="195"/>
      <c r="B21" s="195"/>
      <c r="C21" s="195"/>
      <c r="D21" s="121"/>
      <c r="E21" s="191"/>
      <c r="F21" s="121"/>
      <c r="G21" s="121"/>
      <c r="H21" s="121"/>
      <c r="I21" s="186">
        <v>6</v>
      </c>
      <c r="J21" s="195" t="s">
        <v>479</v>
      </c>
      <c r="K21" s="195" t="s">
        <v>26</v>
      </c>
      <c r="L21" s="195" t="s">
        <v>425</v>
      </c>
      <c r="M21" s="121" t="s">
        <v>45</v>
      </c>
      <c r="N21" s="197">
        <v>1684693</v>
      </c>
      <c r="O21" s="198">
        <v>43</v>
      </c>
      <c r="P21" s="198">
        <v>48</v>
      </c>
      <c r="Q21" s="198">
        <v>48</v>
      </c>
      <c r="R21" s="186">
        <v>6</v>
      </c>
      <c r="S21" s="187" t="s">
        <v>16</v>
      </c>
    </row>
    <row r="22" spans="1:19" x14ac:dyDescent="0.2">
      <c r="A22" s="195"/>
      <c r="B22" s="195"/>
      <c r="C22" s="195"/>
      <c r="D22" s="121"/>
      <c r="E22" s="191"/>
      <c r="F22" s="121"/>
      <c r="G22" s="121"/>
      <c r="H22" s="121"/>
      <c r="I22" s="121"/>
      <c r="J22" s="195" t="s">
        <v>479</v>
      </c>
      <c r="K22" s="195" t="s">
        <v>26</v>
      </c>
      <c r="L22" s="195" t="s">
        <v>425</v>
      </c>
      <c r="M22" s="121" t="s">
        <v>46</v>
      </c>
      <c r="N22" s="196">
        <v>0</v>
      </c>
      <c r="O22" s="200">
        <v>0</v>
      </c>
      <c r="P22" s="200">
        <v>0</v>
      </c>
      <c r="Q22" s="200">
        <v>0</v>
      </c>
      <c r="R22" s="121"/>
      <c r="S22" s="44" t="s">
        <v>407</v>
      </c>
    </row>
    <row r="23" spans="1:19" ht="15" customHeight="1" x14ac:dyDescent="0.2">
      <c r="A23" s="195"/>
      <c r="B23" s="195"/>
      <c r="C23" s="195"/>
      <c r="D23" s="121"/>
      <c r="E23" s="191"/>
      <c r="F23" s="121"/>
      <c r="G23" s="121"/>
      <c r="H23" s="121"/>
      <c r="I23" s="186">
        <v>5</v>
      </c>
      <c r="J23" s="195" t="s">
        <v>479</v>
      </c>
      <c r="K23" s="195" t="s">
        <v>26</v>
      </c>
      <c r="L23" s="195" t="s">
        <v>425</v>
      </c>
      <c r="M23" s="121" t="s">
        <v>47</v>
      </c>
      <c r="N23" s="197">
        <v>2237826.6</v>
      </c>
      <c r="O23" s="198">
        <v>49</v>
      </c>
      <c r="P23" s="198">
        <v>75</v>
      </c>
      <c r="Q23" s="198">
        <v>71</v>
      </c>
      <c r="R23" s="186">
        <v>5</v>
      </c>
      <c r="S23" s="187" t="s">
        <v>17</v>
      </c>
    </row>
    <row r="24" spans="1:19" ht="15" customHeight="1" x14ac:dyDescent="0.2">
      <c r="A24" s="195"/>
      <c r="B24" s="195"/>
      <c r="C24" s="195"/>
      <c r="D24" s="121"/>
      <c r="E24" s="191"/>
      <c r="F24" s="121"/>
      <c r="G24" s="121"/>
      <c r="H24" s="121"/>
      <c r="I24" s="45"/>
      <c r="J24" s="195" t="s">
        <v>479</v>
      </c>
      <c r="K24" s="195" t="s">
        <v>26</v>
      </c>
      <c r="L24" s="195" t="s">
        <v>425</v>
      </c>
      <c r="M24" s="121" t="s">
        <v>48</v>
      </c>
      <c r="N24" s="196">
        <v>0</v>
      </c>
      <c r="O24" s="200">
        <v>0</v>
      </c>
      <c r="P24" s="200">
        <v>0</v>
      </c>
      <c r="Q24" s="200">
        <v>0</v>
      </c>
      <c r="S24" s="44" t="s">
        <v>407</v>
      </c>
    </row>
    <row r="25" spans="1:19" ht="15" customHeight="1" x14ac:dyDescent="0.2">
      <c r="A25" s="195"/>
      <c r="B25" s="195"/>
      <c r="C25" s="195"/>
      <c r="D25" s="121"/>
      <c r="E25" s="191"/>
      <c r="F25" s="121"/>
      <c r="G25" s="121"/>
      <c r="H25" s="121"/>
      <c r="I25" s="45"/>
      <c r="J25" s="195" t="s">
        <v>479</v>
      </c>
      <c r="K25" s="195" t="s">
        <v>26</v>
      </c>
      <c r="L25" s="195" t="s">
        <v>425</v>
      </c>
      <c r="M25" s="121" t="s">
        <v>319</v>
      </c>
      <c r="N25" s="196">
        <v>0</v>
      </c>
      <c r="O25" s="200">
        <v>0</v>
      </c>
      <c r="P25" s="200">
        <v>0</v>
      </c>
      <c r="Q25" s="200">
        <v>0</v>
      </c>
      <c r="S25" s="44" t="s">
        <v>18</v>
      </c>
    </row>
    <row r="26" spans="1:19" ht="15" customHeight="1" x14ac:dyDescent="0.2">
      <c r="A26" s="195"/>
      <c r="B26" s="195"/>
      <c r="C26" s="195"/>
      <c r="D26" s="121"/>
      <c r="E26" s="191"/>
      <c r="F26" s="121"/>
      <c r="G26" s="121"/>
      <c r="H26" s="121"/>
      <c r="I26" s="190" t="s">
        <v>421</v>
      </c>
      <c r="J26" s="195" t="s">
        <v>479</v>
      </c>
      <c r="K26" s="195" t="s">
        <v>26</v>
      </c>
      <c r="L26" s="195" t="s">
        <v>425</v>
      </c>
      <c r="M26" s="121" t="s">
        <v>320</v>
      </c>
      <c r="N26" s="199">
        <v>0</v>
      </c>
      <c r="O26" s="198">
        <v>0</v>
      </c>
      <c r="P26" s="198">
        <v>0</v>
      </c>
      <c r="Q26" s="198">
        <v>0</v>
      </c>
      <c r="R26" s="190" t="s">
        <v>421</v>
      </c>
      <c r="S26" s="187" t="s">
        <v>358</v>
      </c>
    </row>
    <row r="27" spans="1:19" x14ac:dyDescent="0.2">
      <c r="A27" s="195"/>
      <c r="B27" s="195"/>
      <c r="C27" s="195"/>
      <c r="D27" s="121"/>
      <c r="E27" s="191"/>
      <c r="F27" s="121"/>
      <c r="G27" s="121"/>
      <c r="H27" s="121"/>
      <c r="I27" s="190" t="s">
        <v>415</v>
      </c>
      <c r="J27" s="195" t="s">
        <v>479</v>
      </c>
      <c r="K27" s="195" t="s">
        <v>26</v>
      </c>
      <c r="L27" s="195" t="s">
        <v>425</v>
      </c>
      <c r="M27" s="121" t="s">
        <v>321</v>
      </c>
      <c r="N27" s="199">
        <v>268475.09999999998</v>
      </c>
      <c r="O27" s="198">
        <v>11</v>
      </c>
      <c r="P27" s="198">
        <v>7</v>
      </c>
      <c r="Q27" s="198">
        <v>4</v>
      </c>
      <c r="R27" s="190" t="s">
        <v>415</v>
      </c>
      <c r="S27" s="187" t="s">
        <v>408</v>
      </c>
    </row>
    <row r="28" spans="1:19" x14ac:dyDescent="0.2">
      <c r="A28" s="195"/>
      <c r="B28" s="195"/>
      <c r="C28" s="195"/>
      <c r="D28" s="121"/>
      <c r="E28" s="191"/>
      <c r="F28" s="121"/>
      <c r="G28" s="121"/>
      <c r="H28" s="121"/>
      <c r="J28" s="195" t="s">
        <v>479</v>
      </c>
      <c r="K28" s="195" t="s">
        <v>26</v>
      </c>
      <c r="L28" s="195" t="s">
        <v>425</v>
      </c>
      <c r="M28" s="121" t="s">
        <v>322</v>
      </c>
      <c r="N28" s="196">
        <v>0</v>
      </c>
      <c r="O28" s="200">
        <v>0</v>
      </c>
      <c r="P28" s="200">
        <v>0</v>
      </c>
      <c r="Q28" s="200">
        <v>0</v>
      </c>
      <c r="S28" s="44" t="s">
        <v>215</v>
      </c>
    </row>
    <row r="29" spans="1:19" x14ac:dyDescent="0.2">
      <c r="A29" s="195"/>
      <c r="B29" s="195"/>
      <c r="C29" s="195"/>
      <c r="D29" s="121"/>
      <c r="E29" s="191"/>
      <c r="F29" s="121"/>
      <c r="G29" s="121"/>
      <c r="H29" s="121"/>
      <c r="J29" s="195" t="s">
        <v>479</v>
      </c>
      <c r="K29" s="195" t="s">
        <v>26</v>
      </c>
      <c r="L29" s="195" t="s">
        <v>425</v>
      </c>
      <c r="M29" s="121" t="s">
        <v>391</v>
      </c>
      <c r="N29" s="196">
        <v>0</v>
      </c>
      <c r="O29" s="200">
        <v>0</v>
      </c>
      <c r="P29" s="200">
        <v>0</v>
      </c>
      <c r="Q29" s="200">
        <v>0</v>
      </c>
      <c r="S29" s="44" t="s">
        <v>409</v>
      </c>
    </row>
    <row r="30" spans="1:19" ht="15" customHeight="1" x14ac:dyDescent="0.2">
      <c r="A30" s="195"/>
      <c r="B30" s="195"/>
      <c r="C30" s="195"/>
      <c r="D30" s="121"/>
      <c r="E30" s="191"/>
      <c r="F30" s="121"/>
      <c r="G30" s="121"/>
      <c r="H30" s="121"/>
      <c r="J30" s="195" t="s">
        <v>479</v>
      </c>
      <c r="K30" s="195" t="s">
        <v>26</v>
      </c>
      <c r="L30" s="195" t="s">
        <v>425</v>
      </c>
      <c r="M30" s="121" t="s">
        <v>392</v>
      </c>
      <c r="N30" s="196">
        <v>0</v>
      </c>
      <c r="O30" s="200">
        <v>0</v>
      </c>
      <c r="P30" s="200">
        <v>0</v>
      </c>
      <c r="Q30" s="200">
        <v>0</v>
      </c>
      <c r="S30" s="44" t="s">
        <v>410</v>
      </c>
    </row>
    <row r="31" spans="1:19" x14ac:dyDescent="0.2">
      <c r="A31" s="195"/>
      <c r="B31" s="195"/>
      <c r="C31" s="195"/>
      <c r="D31" s="121"/>
      <c r="E31" s="191"/>
      <c r="F31" s="121"/>
      <c r="G31" s="121"/>
      <c r="H31" s="121"/>
      <c r="J31" s="195" t="s">
        <v>479</v>
      </c>
      <c r="K31" s="195" t="s">
        <v>26</v>
      </c>
      <c r="L31" s="195" t="s">
        <v>425</v>
      </c>
      <c r="M31" s="121" t="s">
        <v>393</v>
      </c>
      <c r="N31" s="196">
        <v>0</v>
      </c>
      <c r="O31" s="200">
        <v>0</v>
      </c>
      <c r="P31" s="200">
        <v>0</v>
      </c>
      <c r="Q31" s="200">
        <v>0</v>
      </c>
      <c r="S31" s="44" t="s">
        <v>411</v>
      </c>
    </row>
    <row r="32" spans="1:19" x14ac:dyDescent="0.2">
      <c r="A32" s="195"/>
      <c r="B32" s="195"/>
      <c r="C32" s="195"/>
      <c r="D32" s="201"/>
      <c r="E32" s="202"/>
      <c r="F32" s="201"/>
      <c r="G32" s="201"/>
      <c r="H32" s="201"/>
      <c r="J32" s="195" t="s">
        <v>479</v>
      </c>
      <c r="K32" s="195" t="s">
        <v>26</v>
      </c>
      <c r="L32" s="195" t="s">
        <v>425</v>
      </c>
      <c r="M32" s="201" t="s">
        <v>394</v>
      </c>
      <c r="N32" s="203">
        <v>28353286.68</v>
      </c>
      <c r="O32" s="204">
        <v>2142</v>
      </c>
      <c r="P32" s="204">
        <v>1558</v>
      </c>
      <c r="Q32" s="204">
        <v>1358</v>
      </c>
      <c r="S32" s="185" t="s">
        <v>412</v>
      </c>
    </row>
    <row r="33" spans="1:19" x14ac:dyDescent="0.2">
      <c r="A33" s="195"/>
      <c r="B33" s="195"/>
      <c r="C33" s="195"/>
      <c r="D33" s="121"/>
      <c r="E33" s="191"/>
      <c r="F33" s="121"/>
      <c r="G33" s="121"/>
      <c r="H33" s="121"/>
      <c r="J33" s="195" t="s">
        <v>479</v>
      </c>
      <c r="K33" s="195" t="s">
        <v>26</v>
      </c>
      <c r="L33" s="195" t="s">
        <v>425</v>
      </c>
      <c r="M33" s="121" t="s">
        <v>49</v>
      </c>
      <c r="N33" s="196">
        <v>300</v>
      </c>
      <c r="O33" s="200">
        <v>0</v>
      </c>
      <c r="P33" s="200">
        <v>0</v>
      </c>
      <c r="Q33" s="200">
        <v>0</v>
      </c>
      <c r="S33" s="44" t="s">
        <v>413</v>
      </c>
    </row>
    <row r="34" spans="1:19" x14ac:dyDescent="0.2">
      <c r="A34" s="195"/>
      <c r="B34" s="195"/>
      <c r="C34" s="195"/>
      <c r="D34" s="121"/>
      <c r="E34" s="191"/>
      <c r="F34" s="121"/>
      <c r="G34" s="121"/>
      <c r="H34" s="121"/>
      <c r="J34" s="195" t="s">
        <v>479</v>
      </c>
      <c r="K34" s="195" t="s">
        <v>26</v>
      </c>
      <c r="L34" s="195" t="s">
        <v>425</v>
      </c>
      <c r="M34" s="121" t="s">
        <v>50</v>
      </c>
      <c r="N34" s="196">
        <v>60</v>
      </c>
      <c r="O34" s="200">
        <v>0</v>
      </c>
      <c r="P34" s="200">
        <v>0</v>
      </c>
      <c r="Q34" s="200">
        <v>0</v>
      </c>
      <c r="S34" s="44" t="s">
        <v>414</v>
      </c>
    </row>
    <row r="35" spans="1:19" x14ac:dyDescent="0.2">
      <c r="D35" s="188" t="s">
        <v>89</v>
      </c>
      <c r="E35" s="192">
        <f>SUM(E3:E6,E21,E23)</f>
        <v>0</v>
      </c>
      <c r="F35" s="186">
        <f>SUM(F3:F6,F21,F23)</f>
        <v>0</v>
      </c>
      <c r="G35" s="186">
        <f>SUM(G3:G6,G21,G23)</f>
        <v>0</v>
      </c>
      <c r="H35" s="186">
        <f>SUM(H3:H6,H21,H23)</f>
        <v>0</v>
      </c>
      <c r="M35" s="188" t="s">
        <v>89</v>
      </c>
      <c r="N35" s="192">
        <f>SUM(N3:N6,N21,N23)</f>
        <v>13589498.42</v>
      </c>
      <c r="O35" s="186">
        <f>SUM(O3:O6,O21,O23)</f>
        <v>1002</v>
      </c>
      <c r="P35" s="186">
        <f>SUM(P3:P6,P21,P23)</f>
        <v>728</v>
      </c>
      <c r="Q35" s="186">
        <f>SUM(Q3:Q6,Q21,Q23)</f>
        <v>654</v>
      </c>
    </row>
    <row r="36" spans="1:19" x14ac:dyDescent="0.2">
      <c r="D36" s="45" t="s">
        <v>99</v>
      </c>
      <c r="E36" s="94">
        <f>E3+E4+E5+E6+E21+E23</f>
        <v>0</v>
      </c>
      <c r="F36" s="121">
        <f>F3+F4+F5+F6+F21+F23</f>
        <v>0</v>
      </c>
      <c r="G36" s="121">
        <f>G3+G4+G5+G6+G21+G23</f>
        <v>0</v>
      </c>
      <c r="H36" s="121">
        <f>H3+H4+H5+H6+H21+H23</f>
        <v>0</v>
      </c>
      <c r="M36" s="45" t="s">
        <v>99</v>
      </c>
      <c r="N36" s="94">
        <f>N3+N4+N5+N6+N21+N23</f>
        <v>13589498.42</v>
      </c>
      <c r="O36" s="121">
        <f>O3+O4+O5+O6+O21+O23</f>
        <v>1002</v>
      </c>
      <c r="P36" s="121">
        <f>P3+P4+P5+P6+P21+P23</f>
        <v>728</v>
      </c>
      <c r="Q36" s="121">
        <f>Q3+Q4+Q5+Q6+Q21+Q23</f>
        <v>654</v>
      </c>
    </row>
    <row r="37" spans="1:19" x14ac:dyDescent="0.2">
      <c r="D37" s="188" t="s">
        <v>272</v>
      </c>
      <c r="E37" s="192">
        <f>SUM(E3:E6,E15,E21,E23)</f>
        <v>0</v>
      </c>
      <c r="F37" s="186">
        <f>SUM(F3:F6,F15,F21,F23)</f>
        <v>0</v>
      </c>
      <c r="G37" s="186">
        <f>SUM(G3:G6,G15,G21,G23)</f>
        <v>0</v>
      </c>
      <c r="H37" s="186">
        <f>SUM(H3:H6,H15,H21,H23)</f>
        <v>0</v>
      </c>
      <c r="M37" s="188" t="s">
        <v>272</v>
      </c>
      <c r="N37" s="192">
        <f>SUM(N3:N6,N15,N21,N23)</f>
        <v>13841498.42</v>
      </c>
      <c r="O37" s="186">
        <f>SUM(O3:O6,O15,O21,O23)</f>
        <v>1023</v>
      </c>
      <c r="P37" s="186">
        <f>SUM(P3:P6,P15,P21,P23)</f>
        <v>746</v>
      </c>
      <c r="Q37" s="186">
        <f>SUM(Q3:Q6,Q15,Q21,Q23)</f>
        <v>670</v>
      </c>
    </row>
    <row r="38" spans="1:19" x14ac:dyDescent="0.2">
      <c r="D38" s="45" t="s">
        <v>99</v>
      </c>
      <c r="E38" s="94">
        <f>E3+E4+E5+E6+E15+E21+E23</f>
        <v>0</v>
      </c>
      <c r="F38" s="121">
        <f>F3+F4+F5+F6+F15+F21+F23</f>
        <v>0</v>
      </c>
      <c r="G38" s="121">
        <f>G3+G4+G5+G6+G15+G21+G23</f>
        <v>0</v>
      </c>
      <c r="H38" s="121">
        <f>H3+H4+H5+H6+H15+H21+H23</f>
        <v>0</v>
      </c>
      <c r="M38" s="45" t="s">
        <v>99</v>
      </c>
      <c r="N38" s="94">
        <f>N3+N4+N5+N6+N15+N21+N23</f>
        <v>13841498.42</v>
      </c>
      <c r="O38" s="121">
        <f>O3+O4+O5+O6+O15+O21+O23</f>
        <v>1023</v>
      </c>
      <c r="P38" s="121">
        <f>P3+P4+P5+P6+P15+P21+P23</f>
        <v>746</v>
      </c>
      <c r="Q38" s="121">
        <f>Q3+Q4+Q5+Q6+Q15+Q21+Q23</f>
        <v>670</v>
      </c>
    </row>
    <row r="39" spans="1:19" x14ac:dyDescent="0.2">
      <c r="D39" s="44"/>
      <c r="F39" s="45"/>
      <c r="G39" s="192" t="e">
        <f>SUM(H32)/G32*100</f>
        <v>#DIV/0!</v>
      </c>
      <c r="H39" s="193" t="e">
        <f>SUM(E32)/H32</f>
        <v>#DIV/0!</v>
      </c>
      <c r="P39" s="192">
        <f>SUM(Q32)/P32*100</f>
        <v>87.163029525032087</v>
      </c>
      <c r="Q39" s="193">
        <f>SUM(N32)/Q32</f>
        <v>20878.708895434462</v>
      </c>
    </row>
    <row r="40" spans="1:19" x14ac:dyDescent="0.2">
      <c r="D40" s="44"/>
      <c r="E40" s="196">
        <f>SUM(E3:E21,E23,E25:E31)</f>
        <v>0</v>
      </c>
      <c r="F40" s="200">
        <f>SUM(F3:F21,F23,F25:F31)</f>
        <v>0</v>
      </c>
      <c r="G40" s="218">
        <f>SUM(G3:G21,G23,G25:G31)</f>
        <v>0</v>
      </c>
      <c r="H40" s="200">
        <f>SUM(H3:H21,H23,H25:H31)</f>
        <v>0</v>
      </c>
      <c r="I40" s="169"/>
      <c r="N40" s="196">
        <f>SUM(N3:N21,N23,N25:N31)</f>
        <v>14176643.34</v>
      </c>
      <c r="O40" s="200">
        <f>SUM(O3:O21,O23,O25:O31)</f>
        <v>1071</v>
      </c>
      <c r="P40" s="200">
        <f>SUM(P3:P21,P23,P25:P31)</f>
        <v>779</v>
      </c>
      <c r="Q40" s="200">
        <f>SUM(Q3:Q21,Q23,Q25:Q31)</f>
        <v>679</v>
      </c>
    </row>
    <row r="41" spans="1:19" x14ac:dyDescent="0.2">
      <c r="D41" s="44"/>
      <c r="E41" s="191">
        <f>SUM(E2:E31)</f>
        <v>0</v>
      </c>
      <c r="F41" s="121">
        <f>SUM(F2:F31)</f>
        <v>0</v>
      </c>
      <c r="G41" s="121">
        <f>SUM(G2:G31)</f>
        <v>0</v>
      </c>
      <c r="H41" s="121">
        <f>SUM(H2:H31)</f>
        <v>0</v>
      </c>
      <c r="N41" s="191">
        <f>SUM(N2:N31)</f>
        <v>28353286.68</v>
      </c>
      <c r="O41" s="121">
        <f>SUM(O2:O31)</f>
        <v>2142</v>
      </c>
      <c r="P41" s="121">
        <f>SUM(P2:P31)</f>
        <v>1558</v>
      </c>
      <c r="Q41" s="121">
        <f>SUM(Q2:Q31)</f>
        <v>1358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Arkusz45">
    <tabColor theme="0"/>
  </sheetPr>
  <dimension ref="A1:S41"/>
  <sheetViews>
    <sheetView zoomScale="80" zoomScaleNormal="80" workbookViewId="0">
      <selection activeCell="J2" sqref="J2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195" t="s">
        <v>22</v>
      </c>
      <c r="B1" s="195" t="s">
        <v>23</v>
      </c>
      <c r="C1" s="195" t="s">
        <v>24</v>
      </c>
      <c r="D1" s="121" t="s">
        <v>25</v>
      </c>
      <c r="E1" s="193" t="s">
        <v>387</v>
      </c>
      <c r="F1" s="191" t="s">
        <v>388</v>
      </c>
      <c r="G1" s="191" t="s">
        <v>389</v>
      </c>
      <c r="H1" s="191" t="s">
        <v>390</v>
      </c>
      <c r="J1" s="195" t="s">
        <v>22</v>
      </c>
      <c r="K1" s="195" t="s">
        <v>23</v>
      </c>
      <c r="L1" s="195" t="s">
        <v>24</v>
      </c>
      <c r="M1" s="121" t="s">
        <v>25</v>
      </c>
      <c r="N1" s="193" t="s">
        <v>387</v>
      </c>
      <c r="O1" s="191" t="s">
        <v>388</v>
      </c>
      <c r="P1" s="191" t="s">
        <v>389</v>
      </c>
      <c r="Q1" s="191" t="s">
        <v>390</v>
      </c>
    </row>
    <row r="2" spans="1:19" ht="15" customHeight="1" x14ac:dyDescent="0.2">
      <c r="A2" s="195"/>
      <c r="B2" s="195"/>
      <c r="C2" s="195"/>
      <c r="D2" s="121"/>
      <c r="E2" s="191"/>
      <c r="F2" s="121"/>
      <c r="G2" s="121"/>
      <c r="H2" s="121"/>
      <c r="J2" s="195" t="s">
        <v>479</v>
      </c>
      <c r="K2" s="195" t="s">
        <v>26</v>
      </c>
      <c r="L2" s="195" t="s">
        <v>424</v>
      </c>
      <c r="M2" s="121" t="s">
        <v>27</v>
      </c>
      <c r="N2" s="196">
        <v>9337121.9100000001</v>
      </c>
      <c r="O2" s="200">
        <v>660</v>
      </c>
      <c r="P2" s="200">
        <v>609</v>
      </c>
      <c r="Q2" s="200">
        <v>538</v>
      </c>
      <c r="S2" s="44" t="s">
        <v>395</v>
      </c>
    </row>
    <row r="3" spans="1:19" x14ac:dyDescent="0.2">
      <c r="A3" s="195"/>
      <c r="B3" s="195"/>
      <c r="C3" s="195"/>
      <c r="D3" s="121"/>
      <c r="E3" s="191"/>
      <c r="F3" s="121"/>
      <c r="G3" s="121"/>
      <c r="H3" s="121"/>
      <c r="I3" s="186">
        <v>1</v>
      </c>
      <c r="J3" s="195" t="s">
        <v>479</v>
      </c>
      <c r="K3" s="195" t="s">
        <v>26</v>
      </c>
      <c r="L3" s="195" t="s">
        <v>424</v>
      </c>
      <c r="M3" s="121" t="s">
        <v>28</v>
      </c>
      <c r="N3" s="197">
        <v>2376245.0299999998</v>
      </c>
      <c r="O3" s="198">
        <v>216</v>
      </c>
      <c r="P3" s="198">
        <v>187</v>
      </c>
      <c r="Q3" s="198">
        <v>158</v>
      </c>
      <c r="R3" s="186">
        <v>1</v>
      </c>
      <c r="S3" s="187" t="s">
        <v>396</v>
      </c>
    </row>
    <row r="4" spans="1:19" x14ac:dyDescent="0.2">
      <c r="A4" s="195"/>
      <c r="B4" s="195"/>
      <c r="C4" s="195"/>
      <c r="D4" s="121"/>
      <c r="E4" s="191"/>
      <c r="F4" s="121"/>
      <c r="G4" s="121"/>
      <c r="H4" s="121"/>
      <c r="I4" s="186">
        <v>2</v>
      </c>
      <c r="J4" s="195" t="s">
        <v>479</v>
      </c>
      <c r="K4" s="195" t="s">
        <v>26</v>
      </c>
      <c r="L4" s="195" t="s">
        <v>424</v>
      </c>
      <c r="M4" s="121" t="s">
        <v>29</v>
      </c>
      <c r="N4" s="197">
        <v>153905.79</v>
      </c>
      <c r="O4" s="198">
        <v>20</v>
      </c>
      <c r="P4" s="198">
        <v>18</v>
      </c>
      <c r="Q4" s="198">
        <v>8</v>
      </c>
      <c r="R4" s="186">
        <v>2</v>
      </c>
      <c r="S4" s="187" t="s">
        <v>397</v>
      </c>
    </row>
    <row r="5" spans="1:19" x14ac:dyDescent="0.2">
      <c r="A5" s="195"/>
      <c r="B5" s="195"/>
      <c r="C5" s="195"/>
      <c r="D5" s="121"/>
      <c r="E5" s="191"/>
      <c r="F5" s="121"/>
      <c r="G5" s="121"/>
      <c r="H5" s="121"/>
      <c r="I5" s="186">
        <v>3</v>
      </c>
      <c r="J5" s="195" t="s">
        <v>479</v>
      </c>
      <c r="K5" s="195" t="s">
        <v>26</v>
      </c>
      <c r="L5" s="195" t="s">
        <v>424</v>
      </c>
      <c r="M5" s="121" t="s">
        <v>30</v>
      </c>
      <c r="N5" s="197">
        <v>948653.85</v>
      </c>
      <c r="O5" s="198">
        <v>112</v>
      </c>
      <c r="P5" s="198">
        <v>93</v>
      </c>
      <c r="Q5" s="198">
        <v>91</v>
      </c>
      <c r="R5" s="186">
        <v>3</v>
      </c>
      <c r="S5" s="187" t="s">
        <v>399</v>
      </c>
    </row>
    <row r="6" spans="1:19" x14ac:dyDescent="0.2">
      <c r="A6" s="195"/>
      <c r="B6" s="195"/>
      <c r="C6" s="195"/>
      <c r="D6" s="121"/>
      <c r="E6" s="191"/>
      <c r="F6" s="121"/>
      <c r="G6" s="121"/>
      <c r="H6" s="121"/>
      <c r="I6" s="186">
        <v>4</v>
      </c>
      <c r="J6" s="195" t="s">
        <v>479</v>
      </c>
      <c r="K6" s="195" t="s">
        <v>26</v>
      </c>
      <c r="L6" s="195" t="s">
        <v>424</v>
      </c>
      <c r="M6" s="121" t="s">
        <v>31</v>
      </c>
      <c r="N6" s="197">
        <v>3475468.27</v>
      </c>
      <c r="O6" s="198">
        <v>185</v>
      </c>
      <c r="P6" s="198">
        <v>159</v>
      </c>
      <c r="Q6" s="198">
        <v>158</v>
      </c>
      <c r="R6" s="186">
        <v>4</v>
      </c>
      <c r="S6" s="187" t="s">
        <v>398</v>
      </c>
    </row>
    <row r="7" spans="1:19" x14ac:dyDescent="0.2">
      <c r="A7" s="195"/>
      <c r="B7" s="195"/>
      <c r="C7" s="195"/>
      <c r="D7" s="121"/>
      <c r="E7" s="191"/>
      <c r="F7" s="121"/>
      <c r="G7" s="121"/>
      <c r="H7" s="121"/>
      <c r="I7" s="189" t="s">
        <v>417</v>
      </c>
      <c r="J7" s="195" t="s">
        <v>479</v>
      </c>
      <c r="K7" s="195" t="s">
        <v>26</v>
      </c>
      <c r="L7" s="195" t="s">
        <v>424</v>
      </c>
      <c r="M7" s="121" t="s">
        <v>32</v>
      </c>
      <c r="N7" s="199">
        <v>4377.3599999999997</v>
      </c>
      <c r="O7" s="198">
        <v>3</v>
      </c>
      <c r="P7" s="198">
        <v>2</v>
      </c>
      <c r="Q7" s="198">
        <v>1</v>
      </c>
      <c r="R7" s="189" t="s">
        <v>417</v>
      </c>
      <c r="S7" s="187" t="s">
        <v>400</v>
      </c>
    </row>
    <row r="8" spans="1:19" x14ac:dyDescent="0.2">
      <c r="A8" s="195"/>
      <c r="B8" s="195"/>
      <c r="C8" s="195"/>
      <c r="D8" s="121"/>
      <c r="E8" s="191"/>
      <c r="F8" s="121"/>
      <c r="G8" s="121"/>
      <c r="H8" s="121"/>
      <c r="I8" s="121"/>
      <c r="J8" s="195" t="s">
        <v>479</v>
      </c>
      <c r="K8" s="195" t="s">
        <v>26</v>
      </c>
      <c r="L8" s="195" t="s">
        <v>424</v>
      </c>
      <c r="M8" s="121" t="s">
        <v>33</v>
      </c>
      <c r="N8" s="196">
        <v>0</v>
      </c>
      <c r="O8" s="200">
        <v>0</v>
      </c>
      <c r="P8" s="200">
        <v>0</v>
      </c>
      <c r="Q8" s="200">
        <v>0</v>
      </c>
      <c r="R8" s="121"/>
      <c r="S8" s="44" t="s">
        <v>401</v>
      </c>
    </row>
    <row r="9" spans="1:19" x14ac:dyDescent="0.2">
      <c r="A9" s="195"/>
      <c r="B9" s="195"/>
      <c r="C9" s="195"/>
      <c r="D9" s="121"/>
      <c r="E9" s="191"/>
      <c r="F9" s="121"/>
      <c r="G9" s="121"/>
      <c r="H9" s="121"/>
      <c r="I9" s="121"/>
      <c r="J9" s="195" t="s">
        <v>479</v>
      </c>
      <c r="K9" s="195" t="s">
        <v>26</v>
      </c>
      <c r="L9" s="195" t="s">
        <v>424</v>
      </c>
      <c r="M9" s="121" t="s">
        <v>34</v>
      </c>
      <c r="N9" s="196">
        <v>0</v>
      </c>
      <c r="O9" s="200">
        <v>0</v>
      </c>
      <c r="P9" s="200">
        <v>0</v>
      </c>
      <c r="Q9" s="200">
        <v>0</v>
      </c>
      <c r="R9" s="121"/>
      <c r="S9" s="44" t="s">
        <v>6</v>
      </c>
    </row>
    <row r="10" spans="1:19" ht="15" customHeight="1" x14ac:dyDescent="0.2">
      <c r="A10" s="195"/>
      <c r="B10" s="195"/>
      <c r="C10" s="195"/>
      <c r="D10" s="121"/>
      <c r="E10" s="191"/>
      <c r="F10" s="121"/>
      <c r="G10" s="121"/>
      <c r="H10" s="121"/>
      <c r="I10" s="121"/>
      <c r="J10" s="195" t="s">
        <v>479</v>
      </c>
      <c r="K10" s="195" t="s">
        <v>26</v>
      </c>
      <c r="L10" s="195" t="s">
        <v>424</v>
      </c>
      <c r="M10" s="121" t="s">
        <v>35</v>
      </c>
      <c r="N10" s="196">
        <v>0</v>
      </c>
      <c r="O10" s="200">
        <v>0</v>
      </c>
      <c r="P10" s="200">
        <v>0</v>
      </c>
      <c r="Q10" s="200">
        <v>0</v>
      </c>
      <c r="R10" s="121"/>
      <c r="S10" s="44" t="s">
        <v>402</v>
      </c>
    </row>
    <row r="11" spans="1:19" ht="15" customHeight="1" x14ac:dyDescent="0.2">
      <c r="A11" s="195"/>
      <c r="B11" s="195"/>
      <c r="C11" s="195"/>
      <c r="D11" s="121"/>
      <c r="E11" s="191"/>
      <c r="F11" s="121"/>
      <c r="G11" s="121"/>
      <c r="H11" s="121"/>
      <c r="I11" s="121"/>
      <c r="J11" s="195" t="s">
        <v>479</v>
      </c>
      <c r="K11" s="195" t="s">
        <v>26</v>
      </c>
      <c r="L11" s="195" t="s">
        <v>424</v>
      </c>
      <c r="M11" s="121" t="s">
        <v>36</v>
      </c>
      <c r="N11" s="196">
        <v>0</v>
      </c>
      <c r="O11" s="200">
        <v>0</v>
      </c>
      <c r="P11" s="200">
        <v>0</v>
      </c>
      <c r="Q11" s="200">
        <v>0</v>
      </c>
      <c r="R11" s="121"/>
      <c r="S11" s="44" t="s">
        <v>8</v>
      </c>
    </row>
    <row r="12" spans="1:19" x14ac:dyDescent="0.2">
      <c r="A12" s="195"/>
      <c r="B12" s="195"/>
      <c r="C12" s="195"/>
      <c r="D12" s="121"/>
      <c r="E12" s="191"/>
      <c r="F12" s="121"/>
      <c r="G12" s="121"/>
      <c r="H12" s="121"/>
      <c r="I12" s="121"/>
      <c r="J12" s="195" t="s">
        <v>479</v>
      </c>
      <c r="K12" s="195" t="s">
        <v>26</v>
      </c>
      <c r="L12" s="195" t="s">
        <v>424</v>
      </c>
      <c r="M12" s="121" t="s">
        <v>37</v>
      </c>
      <c r="N12" s="196">
        <v>0</v>
      </c>
      <c r="O12" s="200">
        <v>0</v>
      </c>
      <c r="P12" s="200">
        <v>0</v>
      </c>
      <c r="Q12" s="200">
        <v>0</v>
      </c>
      <c r="R12" s="121"/>
      <c r="S12" s="44" t="s">
        <v>403</v>
      </c>
    </row>
    <row r="13" spans="1:19" x14ac:dyDescent="0.2">
      <c r="A13" s="195"/>
      <c r="B13" s="195"/>
      <c r="C13" s="195"/>
      <c r="D13" s="121"/>
      <c r="E13" s="191"/>
      <c r="F13" s="121"/>
      <c r="G13" s="121"/>
      <c r="H13" s="121"/>
      <c r="I13" s="189" t="s">
        <v>419</v>
      </c>
      <c r="J13" s="195" t="s">
        <v>479</v>
      </c>
      <c r="K13" s="195" t="s">
        <v>26</v>
      </c>
      <c r="L13" s="195" t="s">
        <v>424</v>
      </c>
      <c r="M13" s="121" t="s">
        <v>26</v>
      </c>
      <c r="N13" s="199">
        <v>179395.38</v>
      </c>
      <c r="O13" s="198">
        <v>41</v>
      </c>
      <c r="P13" s="198">
        <v>40</v>
      </c>
      <c r="Q13" s="198">
        <v>13</v>
      </c>
      <c r="R13" s="189" t="s">
        <v>419</v>
      </c>
      <c r="S13" s="187" t="s">
        <v>9</v>
      </c>
    </row>
    <row r="14" spans="1:19" ht="15" customHeight="1" x14ac:dyDescent="0.2">
      <c r="A14" s="195"/>
      <c r="B14" s="195"/>
      <c r="C14" s="195"/>
      <c r="D14" s="121"/>
      <c r="E14" s="191"/>
      <c r="F14" s="121"/>
      <c r="G14" s="121"/>
      <c r="H14" s="121"/>
      <c r="I14" s="121"/>
      <c r="J14" s="195" t="s">
        <v>479</v>
      </c>
      <c r="K14" s="195" t="s">
        <v>26</v>
      </c>
      <c r="L14" s="195" t="s">
        <v>424</v>
      </c>
      <c r="M14" s="121" t="s">
        <v>38</v>
      </c>
      <c r="N14" s="196">
        <v>0</v>
      </c>
      <c r="O14" s="200">
        <v>0</v>
      </c>
      <c r="P14" s="200">
        <v>0</v>
      </c>
      <c r="Q14" s="200">
        <v>0</v>
      </c>
      <c r="R14" s="121"/>
      <c r="S14" s="44" t="s">
        <v>404</v>
      </c>
    </row>
    <row r="15" spans="1:19" ht="15" customHeight="1" x14ac:dyDescent="0.2">
      <c r="A15" s="195"/>
      <c r="B15" s="195"/>
      <c r="C15" s="195"/>
      <c r="D15" s="121"/>
      <c r="E15" s="191"/>
      <c r="F15" s="121"/>
      <c r="G15" s="121"/>
      <c r="H15" s="121"/>
      <c r="I15" s="189" t="s">
        <v>51</v>
      </c>
      <c r="J15" s="195" t="s">
        <v>479</v>
      </c>
      <c r="K15" s="195" t="s">
        <v>26</v>
      </c>
      <c r="L15" s="195" t="s">
        <v>424</v>
      </c>
      <c r="M15" s="121" t="s">
        <v>39</v>
      </c>
      <c r="N15" s="199">
        <v>376000</v>
      </c>
      <c r="O15" s="198">
        <v>37</v>
      </c>
      <c r="P15" s="198">
        <v>38</v>
      </c>
      <c r="Q15" s="198">
        <v>38</v>
      </c>
      <c r="R15" s="189" t="s">
        <v>51</v>
      </c>
      <c r="S15" s="187" t="s">
        <v>11</v>
      </c>
    </row>
    <row r="16" spans="1:19" x14ac:dyDescent="0.2">
      <c r="A16" s="195"/>
      <c r="B16" s="195"/>
      <c r="C16" s="195"/>
      <c r="D16" s="121"/>
      <c r="E16" s="191"/>
      <c r="F16" s="121"/>
      <c r="G16" s="121"/>
      <c r="H16" s="121"/>
      <c r="I16" s="189" t="s">
        <v>418</v>
      </c>
      <c r="J16" s="195" t="s">
        <v>479</v>
      </c>
      <c r="K16" s="195" t="s">
        <v>26</v>
      </c>
      <c r="L16" s="195" t="s">
        <v>424</v>
      </c>
      <c r="M16" s="121" t="s">
        <v>40</v>
      </c>
      <c r="N16" s="199">
        <v>67386.600000000006</v>
      </c>
      <c r="O16" s="198">
        <v>5</v>
      </c>
      <c r="P16" s="198">
        <v>3</v>
      </c>
      <c r="Q16" s="198">
        <v>3</v>
      </c>
      <c r="R16" s="189" t="s">
        <v>418</v>
      </c>
      <c r="S16" s="187" t="s">
        <v>405</v>
      </c>
    </row>
    <row r="17" spans="1:19" x14ac:dyDescent="0.2">
      <c r="A17" s="195"/>
      <c r="B17" s="195"/>
      <c r="C17" s="195"/>
      <c r="D17" s="121"/>
      <c r="E17" s="191"/>
      <c r="F17" s="121"/>
      <c r="G17" s="121"/>
      <c r="H17" s="121"/>
      <c r="I17" s="121"/>
      <c r="J17" s="195" t="s">
        <v>479</v>
      </c>
      <c r="K17" s="195" t="s">
        <v>26</v>
      </c>
      <c r="L17" s="195" t="s">
        <v>424</v>
      </c>
      <c r="M17" s="121" t="s">
        <v>41</v>
      </c>
      <c r="N17" s="196">
        <v>0</v>
      </c>
      <c r="O17" s="200">
        <v>0</v>
      </c>
      <c r="P17" s="200">
        <v>0</v>
      </c>
      <c r="Q17" s="200">
        <v>0</v>
      </c>
      <c r="R17" s="121"/>
      <c r="S17" s="44" t="s">
        <v>406</v>
      </c>
    </row>
    <row r="18" spans="1:19" ht="15" customHeight="1" x14ac:dyDescent="0.2">
      <c r="A18" s="195"/>
      <c r="B18" s="195"/>
      <c r="C18" s="195"/>
      <c r="D18" s="121"/>
      <c r="E18" s="191"/>
      <c r="F18" s="121"/>
      <c r="G18" s="121"/>
      <c r="H18" s="121"/>
      <c r="I18" s="189" t="s">
        <v>420</v>
      </c>
      <c r="J18" s="195" t="s">
        <v>479</v>
      </c>
      <c r="K18" s="195" t="s">
        <v>26</v>
      </c>
      <c r="L18" s="195" t="s">
        <v>424</v>
      </c>
      <c r="M18" s="121" t="s">
        <v>42</v>
      </c>
      <c r="N18" s="199">
        <v>1333.02</v>
      </c>
      <c r="O18" s="198">
        <v>0</v>
      </c>
      <c r="P18" s="198">
        <v>0</v>
      </c>
      <c r="Q18" s="198">
        <v>0</v>
      </c>
      <c r="R18" s="189" t="s">
        <v>420</v>
      </c>
      <c r="S18" s="187" t="s">
        <v>376</v>
      </c>
    </row>
    <row r="19" spans="1:19" ht="15" customHeight="1" x14ac:dyDescent="0.2">
      <c r="A19" s="195"/>
      <c r="B19" s="195"/>
      <c r="C19" s="195"/>
      <c r="D19" s="121"/>
      <c r="E19" s="191"/>
      <c r="F19" s="121"/>
      <c r="G19" s="121"/>
      <c r="H19" s="121"/>
      <c r="I19" s="189" t="s">
        <v>416</v>
      </c>
      <c r="J19" s="195" t="s">
        <v>479</v>
      </c>
      <c r="K19" s="195" t="s">
        <v>26</v>
      </c>
      <c r="L19" s="195" t="s">
        <v>424</v>
      </c>
      <c r="M19" s="121" t="s">
        <v>43</v>
      </c>
      <c r="N19" s="199">
        <v>0</v>
      </c>
      <c r="O19" s="198">
        <v>0</v>
      </c>
      <c r="P19" s="198">
        <v>0</v>
      </c>
      <c r="Q19" s="198">
        <v>0</v>
      </c>
      <c r="R19" s="189" t="s">
        <v>416</v>
      </c>
      <c r="S19" s="187" t="s">
        <v>377</v>
      </c>
    </row>
    <row r="20" spans="1:19" x14ac:dyDescent="0.2">
      <c r="A20" s="195"/>
      <c r="B20" s="195"/>
      <c r="C20" s="195"/>
      <c r="D20" s="121"/>
      <c r="E20" s="191"/>
      <c r="F20" s="121"/>
      <c r="G20" s="121"/>
      <c r="H20" s="121"/>
      <c r="I20" s="121"/>
      <c r="J20" s="195" t="s">
        <v>479</v>
      </c>
      <c r="K20" s="195" t="s">
        <v>26</v>
      </c>
      <c r="L20" s="195" t="s">
        <v>424</v>
      </c>
      <c r="M20" s="121" t="s">
        <v>44</v>
      </c>
      <c r="N20" s="196">
        <v>0</v>
      </c>
      <c r="O20" s="200">
        <v>0</v>
      </c>
      <c r="P20" s="200">
        <v>0</v>
      </c>
      <c r="Q20" s="200">
        <v>0</v>
      </c>
      <c r="R20" s="121"/>
      <c r="S20" s="44" t="s">
        <v>15</v>
      </c>
    </row>
    <row r="21" spans="1:19" x14ac:dyDescent="0.2">
      <c r="A21" s="195"/>
      <c r="B21" s="195"/>
      <c r="C21" s="195"/>
      <c r="D21" s="121"/>
      <c r="E21" s="191"/>
      <c r="F21" s="121"/>
      <c r="G21" s="121"/>
      <c r="H21" s="121"/>
      <c r="I21" s="186">
        <v>6</v>
      </c>
      <c r="J21" s="195" t="s">
        <v>479</v>
      </c>
      <c r="K21" s="195" t="s">
        <v>26</v>
      </c>
      <c r="L21" s="195" t="s">
        <v>424</v>
      </c>
      <c r="M21" s="121" t="s">
        <v>45</v>
      </c>
      <c r="N21" s="197">
        <v>972468</v>
      </c>
      <c r="O21" s="198">
        <v>24</v>
      </c>
      <c r="P21" s="198">
        <v>41</v>
      </c>
      <c r="Q21" s="198">
        <v>40</v>
      </c>
      <c r="R21" s="186">
        <v>6</v>
      </c>
      <c r="S21" s="187" t="s">
        <v>16</v>
      </c>
    </row>
    <row r="22" spans="1:19" x14ac:dyDescent="0.2">
      <c r="A22" s="195"/>
      <c r="B22" s="195"/>
      <c r="C22" s="195"/>
      <c r="D22" s="121"/>
      <c r="E22" s="191"/>
      <c r="F22" s="121"/>
      <c r="G22" s="121"/>
      <c r="H22" s="121"/>
      <c r="I22" s="121"/>
      <c r="J22" s="195" t="s">
        <v>479</v>
      </c>
      <c r="K22" s="195" t="s">
        <v>26</v>
      </c>
      <c r="L22" s="195" t="s">
        <v>424</v>
      </c>
      <c r="M22" s="121" t="s">
        <v>46</v>
      </c>
      <c r="N22" s="196">
        <v>0</v>
      </c>
      <c r="O22" s="200">
        <v>0</v>
      </c>
      <c r="P22" s="200">
        <v>0</v>
      </c>
      <c r="Q22" s="200">
        <v>0</v>
      </c>
      <c r="R22" s="121"/>
      <c r="S22" s="44" t="s">
        <v>407</v>
      </c>
    </row>
    <row r="23" spans="1:19" ht="15" customHeight="1" x14ac:dyDescent="0.2">
      <c r="A23" s="195"/>
      <c r="B23" s="195"/>
      <c r="C23" s="195"/>
      <c r="D23" s="121"/>
      <c r="E23" s="191"/>
      <c r="F23" s="121"/>
      <c r="G23" s="121"/>
      <c r="H23" s="121"/>
      <c r="I23" s="186">
        <v>5</v>
      </c>
      <c r="J23" s="195" t="s">
        <v>479</v>
      </c>
      <c r="K23" s="195" t="s">
        <v>26</v>
      </c>
      <c r="L23" s="195" t="s">
        <v>424</v>
      </c>
      <c r="M23" s="121" t="s">
        <v>47</v>
      </c>
      <c r="N23" s="197">
        <v>781888.61</v>
      </c>
      <c r="O23" s="198">
        <v>17</v>
      </c>
      <c r="P23" s="198">
        <v>28</v>
      </c>
      <c r="Q23" s="198">
        <v>28</v>
      </c>
      <c r="R23" s="186">
        <v>5</v>
      </c>
      <c r="S23" s="187" t="s">
        <v>17</v>
      </c>
    </row>
    <row r="24" spans="1:19" ht="15" customHeight="1" x14ac:dyDescent="0.2">
      <c r="A24" s="195"/>
      <c r="B24" s="195"/>
      <c r="C24" s="195"/>
      <c r="D24" s="121"/>
      <c r="E24" s="191"/>
      <c r="F24" s="121"/>
      <c r="G24" s="121"/>
      <c r="H24" s="121"/>
      <c r="I24" s="45"/>
      <c r="J24" s="195" t="s">
        <v>479</v>
      </c>
      <c r="K24" s="195" t="s">
        <v>26</v>
      </c>
      <c r="L24" s="195" t="s">
        <v>424</v>
      </c>
      <c r="M24" s="121" t="s">
        <v>48</v>
      </c>
      <c r="N24" s="196">
        <v>0</v>
      </c>
      <c r="O24" s="200">
        <v>0</v>
      </c>
      <c r="P24" s="200">
        <v>0</v>
      </c>
      <c r="Q24" s="200">
        <v>0</v>
      </c>
      <c r="S24" s="44" t="s">
        <v>407</v>
      </c>
    </row>
    <row r="25" spans="1:19" ht="15" customHeight="1" x14ac:dyDescent="0.2">
      <c r="A25" s="195"/>
      <c r="B25" s="195"/>
      <c r="C25" s="195"/>
      <c r="D25" s="121"/>
      <c r="E25" s="191"/>
      <c r="F25" s="121"/>
      <c r="G25" s="121"/>
      <c r="H25" s="121"/>
      <c r="I25" s="45"/>
      <c r="J25" s="195" t="s">
        <v>479</v>
      </c>
      <c r="K25" s="195" t="s">
        <v>26</v>
      </c>
      <c r="L25" s="195" t="s">
        <v>424</v>
      </c>
      <c r="M25" s="121" t="s">
        <v>319</v>
      </c>
      <c r="N25" s="196">
        <v>0</v>
      </c>
      <c r="O25" s="200">
        <v>0</v>
      </c>
      <c r="P25" s="200">
        <v>0</v>
      </c>
      <c r="Q25" s="200">
        <v>0</v>
      </c>
      <c r="S25" s="44" t="s">
        <v>18</v>
      </c>
    </row>
    <row r="26" spans="1:19" ht="15" customHeight="1" x14ac:dyDescent="0.2">
      <c r="A26" s="195"/>
      <c r="B26" s="195"/>
      <c r="C26" s="195"/>
      <c r="D26" s="121"/>
      <c r="E26" s="191"/>
      <c r="F26" s="121"/>
      <c r="G26" s="121"/>
      <c r="H26" s="121"/>
      <c r="I26" s="190" t="s">
        <v>421</v>
      </c>
      <c r="J26" s="195" t="s">
        <v>479</v>
      </c>
      <c r="K26" s="195" t="s">
        <v>26</v>
      </c>
      <c r="L26" s="195" t="s">
        <v>424</v>
      </c>
      <c r="M26" s="121" t="s">
        <v>320</v>
      </c>
      <c r="N26" s="199">
        <v>0</v>
      </c>
      <c r="O26" s="198">
        <v>0</v>
      </c>
      <c r="P26" s="198">
        <v>0</v>
      </c>
      <c r="Q26" s="198">
        <v>0</v>
      </c>
      <c r="R26" s="190" t="s">
        <v>421</v>
      </c>
      <c r="S26" s="187" t="s">
        <v>358</v>
      </c>
    </row>
    <row r="27" spans="1:19" x14ac:dyDescent="0.2">
      <c r="A27" s="195"/>
      <c r="B27" s="195"/>
      <c r="C27" s="195"/>
      <c r="D27" s="121"/>
      <c r="E27" s="191"/>
      <c r="F27" s="121"/>
      <c r="G27" s="121"/>
      <c r="H27" s="121"/>
      <c r="I27" s="190" t="s">
        <v>415</v>
      </c>
      <c r="J27" s="195" t="s">
        <v>479</v>
      </c>
      <c r="K27" s="195" t="s">
        <v>26</v>
      </c>
      <c r="L27" s="195" t="s">
        <v>424</v>
      </c>
      <c r="M27" s="121" t="s">
        <v>321</v>
      </c>
      <c r="N27" s="199">
        <v>0</v>
      </c>
      <c r="O27" s="198">
        <v>0</v>
      </c>
      <c r="P27" s="198">
        <v>0</v>
      </c>
      <c r="Q27" s="198">
        <v>0</v>
      </c>
      <c r="R27" s="190" t="s">
        <v>415</v>
      </c>
      <c r="S27" s="187" t="s">
        <v>408</v>
      </c>
    </row>
    <row r="28" spans="1:19" x14ac:dyDescent="0.2">
      <c r="A28" s="195"/>
      <c r="B28" s="195"/>
      <c r="C28" s="195"/>
      <c r="D28" s="121"/>
      <c r="E28" s="191"/>
      <c r="F28" s="121"/>
      <c r="G28" s="121"/>
      <c r="H28" s="121"/>
      <c r="J28" s="195" t="s">
        <v>479</v>
      </c>
      <c r="K28" s="195" t="s">
        <v>26</v>
      </c>
      <c r="L28" s="195" t="s">
        <v>424</v>
      </c>
      <c r="M28" s="121" t="s">
        <v>322</v>
      </c>
      <c r="N28" s="196">
        <v>0</v>
      </c>
      <c r="O28" s="200">
        <v>0</v>
      </c>
      <c r="P28" s="200">
        <v>0</v>
      </c>
      <c r="Q28" s="200">
        <v>0</v>
      </c>
      <c r="S28" s="44" t="s">
        <v>215</v>
      </c>
    </row>
    <row r="29" spans="1:19" x14ac:dyDescent="0.2">
      <c r="A29" s="195"/>
      <c r="B29" s="195"/>
      <c r="C29" s="195"/>
      <c r="D29" s="121"/>
      <c r="E29" s="191"/>
      <c r="F29" s="121"/>
      <c r="G29" s="121"/>
      <c r="H29" s="121"/>
      <c r="J29" s="195" t="s">
        <v>479</v>
      </c>
      <c r="K29" s="195" t="s">
        <v>26</v>
      </c>
      <c r="L29" s="195" t="s">
        <v>424</v>
      </c>
      <c r="M29" s="121" t="s">
        <v>391</v>
      </c>
      <c r="N29" s="196">
        <v>0</v>
      </c>
      <c r="O29" s="200">
        <v>0</v>
      </c>
      <c r="P29" s="200">
        <v>0</v>
      </c>
      <c r="Q29" s="200">
        <v>0</v>
      </c>
      <c r="S29" s="44" t="s">
        <v>409</v>
      </c>
    </row>
    <row r="30" spans="1:19" ht="15" customHeight="1" x14ac:dyDescent="0.2">
      <c r="A30" s="195"/>
      <c r="B30" s="195"/>
      <c r="C30" s="195"/>
      <c r="D30" s="121"/>
      <c r="E30" s="191"/>
      <c r="F30" s="121"/>
      <c r="G30" s="121"/>
      <c r="H30" s="121"/>
      <c r="J30" s="195" t="s">
        <v>479</v>
      </c>
      <c r="K30" s="195" t="s">
        <v>26</v>
      </c>
      <c r="L30" s="195" t="s">
        <v>424</v>
      </c>
      <c r="M30" s="121" t="s">
        <v>392</v>
      </c>
      <c r="N30" s="196">
        <v>0</v>
      </c>
      <c r="O30" s="200">
        <v>0</v>
      </c>
      <c r="P30" s="200">
        <v>0</v>
      </c>
      <c r="Q30" s="200">
        <v>0</v>
      </c>
      <c r="S30" s="44" t="s">
        <v>410</v>
      </c>
    </row>
    <row r="31" spans="1:19" x14ac:dyDescent="0.2">
      <c r="A31" s="195"/>
      <c r="B31" s="195"/>
      <c r="C31" s="195"/>
      <c r="D31" s="121"/>
      <c r="E31" s="191"/>
      <c r="F31" s="121"/>
      <c r="G31" s="121"/>
      <c r="H31" s="121"/>
      <c r="J31" s="195" t="s">
        <v>479</v>
      </c>
      <c r="K31" s="195" t="s">
        <v>26</v>
      </c>
      <c r="L31" s="195" t="s">
        <v>424</v>
      </c>
      <c r="M31" s="121" t="s">
        <v>393</v>
      </c>
      <c r="N31" s="196">
        <v>0</v>
      </c>
      <c r="O31" s="200">
        <v>0</v>
      </c>
      <c r="P31" s="200">
        <v>0</v>
      </c>
      <c r="Q31" s="200">
        <v>0</v>
      </c>
      <c r="S31" s="44" t="s">
        <v>411</v>
      </c>
    </row>
    <row r="32" spans="1:19" x14ac:dyDescent="0.2">
      <c r="A32" s="195"/>
      <c r="B32" s="195"/>
      <c r="C32" s="195"/>
      <c r="D32" s="201"/>
      <c r="E32" s="202"/>
      <c r="F32" s="201"/>
      <c r="G32" s="201"/>
      <c r="H32" s="201"/>
      <c r="J32" s="195" t="s">
        <v>479</v>
      </c>
      <c r="K32" s="195" t="s">
        <v>26</v>
      </c>
      <c r="L32" s="195" t="s">
        <v>424</v>
      </c>
      <c r="M32" s="201" t="s">
        <v>394</v>
      </c>
      <c r="N32" s="203">
        <v>18674243.82</v>
      </c>
      <c r="O32" s="204">
        <v>1320</v>
      </c>
      <c r="P32" s="204">
        <v>1218</v>
      </c>
      <c r="Q32" s="204">
        <v>1076</v>
      </c>
      <c r="S32" s="185" t="s">
        <v>412</v>
      </c>
    </row>
    <row r="33" spans="1:19" x14ac:dyDescent="0.2">
      <c r="A33" s="195"/>
      <c r="B33" s="195"/>
      <c r="C33" s="195"/>
      <c r="D33" s="121"/>
      <c r="E33" s="191"/>
      <c r="F33" s="121"/>
      <c r="G33" s="121"/>
      <c r="H33" s="121"/>
      <c r="J33" s="195" t="s">
        <v>479</v>
      </c>
      <c r="K33" s="195" t="s">
        <v>26</v>
      </c>
      <c r="L33" s="195" t="s">
        <v>424</v>
      </c>
      <c r="M33" s="121" t="s">
        <v>49</v>
      </c>
      <c r="N33" s="196">
        <v>300</v>
      </c>
      <c r="O33" s="200">
        <v>0</v>
      </c>
      <c r="P33" s="200">
        <v>0</v>
      </c>
      <c r="Q33" s="200">
        <v>0</v>
      </c>
      <c r="S33" s="44" t="s">
        <v>413</v>
      </c>
    </row>
    <row r="34" spans="1:19" x14ac:dyDescent="0.2">
      <c r="A34" s="195"/>
      <c r="B34" s="195"/>
      <c r="C34" s="195"/>
      <c r="D34" s="121"/>
      <c r="E34" s="191"/>
      <c r="F34" s="121"/>
      <c r="G34" s="121"/>
      <c r="H34" s="121"/>
      <c r="J34" s="195" t="s">
        <v>479</v>
      </c>
      <c r="K34" s="195" t="s">
        <v>26</v>
      </c>
      <c r="L34" s="195" t="s">
        <v>424</v>
      </c>
      <c r="M34" s="121" t="s">
        <v>50</v>
      </c>
      <c r="N34" s="196">
        <v>20</v>
      </c>
      <c r="O34" s="200">
        <v>0</v>
      </c>
      <c r="P34" s="200">
        <v>0</v>
      </c>
      <c r="Q34" s="200">
        <v>0</v>
      </c>
      <c r="S34" s="44" t="s">
        <v>414</v>
      </c>
    </row>
    <row r="35" spans="1:19" x14ac:dyDescent="0.2">
      <c r="D35" s="188" t="s">
        <v>89</v>
      </c>
      <c r="E35" s="192">
        <f>SUM(E3:E6,E21,E23)</f>
        <v>0</v>
      </c>
      <c r="F35" s="186">
        <f>SUM(F3:F6,F21,F23)</f>
        <v>0</v>
      </c>
      <c r="G35" s="186">
        <f>SUM(G3:G6,G21,G23)</f>
        <v>0</v>
      </c>
      <c r="H35" s="186">
        <f>SUM(H3:H6,H21,H23)</f>
        <v>0</v>
      </c>
      <c r="M35" s="188" t="s">
        <v>89</v>
      </c>
      <c r="N35" s="192">
        <f>SUM(N3:N6,N21,N23)</f>
        <v>8708629.5499999989</v>
      </c>
      <c r="O35" s="186">
        <f>SUM(O3:O6,O21,O23)</f>
        <v>574</v>
      </c>
      <c r="P35" s="186">
        <f>SUM(P3:P6,P21,P23)</f>
        <v>526</v>
      </c>
      <c r="Q35" s="186">
        <f>SUM(Q3:Q6,Q21,Q23)</f>
        <v>483</v>
      </c>
    </row>
    <row r="36" spans="1:19" x14ac:dyDescent="0.2">
      <c r="D36" s="45" t="s">
        <v>99</v>
      </c>
      <c r="E36" s="94">
        <f>E3+E4+E5+E6+E21+E23</f>
        <v>0</v>
      </c>
      <c r="F36" s="121">
        <f>F3+F4+F5+F6+F21+F23</f>
        <v>0</v>
      </c>
      <c r="G36" s="121">
        <f>G3+G4+G5+G6+G21+G23</f>
        <v>0</v>
      </c>
      <c r="H36" s="121">
        <f>H3+H4+H5+H6+H21+H23</f>
        <v>0</v>
      </c>
      <c r="M36" s="45" t="s">
        <v>99</v>
      </c>
      <c r="N36" s="94">
        <f>N3+N4+N5+N6+N21+N23</f>
        <v>8708629.5499999989</v>
      </c>
      <c r="O36" s="121">
        <f>O3+O4+O5+O6+O21+O23</f>
        <v>574</v>
      </c>
      <c r="P36" s="121">
        <f>P3+P4+P5+P6+P21+P23</f>
        <v>526</v>
      </c>
      <c r="Q36" s="121">
        <f>Q3+Q4+Q5+Q6+Q21+Q23</f>
        <v>483</v>
      </c>
    </row>
    <row r="37" spans="1:19" x14ac:dyDescent="0.2">
      <c r="D37" s="188" t="s">
        <v>272</v>
      </c>
      <c r="E37" s="192">
        <f>SUM(E3:E6,E15,E21,E23)</f>
        <v>0</v>
      </c>
      <c r="F37" s="186">
        <f>SUM(F3:F6,F15,F21,F23)</f>
        <v>0</v>
      </c>
      <c r="G37" s="186">
        <f>SUM(G3:G6,G15,G21,G23)</f>
        <v>0</v>
      </c>
      <c r="H37" s="186">
        <f>SUM(H3:H6,H15,H21,H23)</f>
        <v>0</v>
      </c>
      <c r="M37" s="188" t="s">
        <v>272</v>
      </c>
      <c r="N37" s="192">
        <f>SUM(N3:N6,N15,N21,N23)</f>
        <v>9084629.5499999989</v>
      </c>
      <c r="O37" s="186">
        <f>SUM(O3:O6,O15,O21,O23)</f>
        <v>611</v>
      </c>
      <c r="P37" s="186">
        <f>SUM(P3:P6,P15,P21,P23)</f>
        <v>564</v>
      </c>
      <c r="Q37" s="186">
        <f>SUM(Q3:Q6,Q15,Q21,Q23)</f>
        <v>521</v>
      </c>
    </row>
    <row r="38" spans="1:19" x14ac:dyDescent="0.2">
      <c r="D38" s="45" t="s">
        <v>99</v>
      </c>
      <c r="E38" s="94">
        <f>E3+E4+E5+E6+E15+E21+E23</f>
        <v>0</v>
      </c>
      <c r="F38" s="121">
        <f>F3+F4+F5+F6+F15+F21+F23</f>
        <v>0</v>
      </c>
      <c r="G38" s="121">
        <f>G3+G4+G5+G6+G15+G21+G23</f>
        <v>0</v>
      </c>
      <c r="H38" s="121">
        <f>H3+H4+H5+H6+H15+H21+H23</f>
        <v>0</v>
      </c>
      <c r="M38" s="45" t="s">
        <v>99</v>
      </c>
      <c r="N38" s="94">
        <f>N3+N4+N5+N6+N15+N21+N23</f>
        <v>9084629.5499999989</v>
      </c>
      <c r="O38" s="121">
        <f>O3+O4+O5+O6+O15+O21+O23</f>
        <v>611</v>
      </c>
      <c r="P38" s="121">
        <f>P3+P4+P5+P6+P15+P21+P23</f>
        <v>564</v>
      </c>
      <c r="Q38" s="121">
        <f>Q3+Q4+Q5+Q6+Q15+Q21+Q23</f>
        <v>521</v>
      </c>
    </row>
    <row r="39" spans="1:19" x14ac:dyDescent="0.2">
      <c r="D39" s="44"/>
      <c r="F39" s="45"/>
      <c r="G39" s="192" t="e">
        <f>SUM(H32)/G32*100</f>
        <v>#DIV/0!</v>
      </c>
      <c r="H39" s="193" t="e">
        <f>SUM(E32)/H32</f>
        <v>#DIV/0!</v>
      </c>
      <c r="P39" s="192">
        <f>SUM(Q32)/P32*100</f>
        <v>88.341543513957305</v>
      </c>
      <c r="Q39" s="193">
        <f>SUM(N32)/Q32</f>
        <v>17355.245185873606</v>
      </c>
    </row>
    <row r="40" spans="1:19" x14ac:dyDescent="0.2">
      <c r="D40" s="44"/>
      <c r="E40" s="196">
        <f>SUM(E3:E21,E23,E25:E31)</f>
        <v>0</v>
      </c>
      <c r="F40" s="200">
        <f>SUM(F3:F21,F23,F25:F31)</f>
        <v>0</v>
      </c>
      <c r="G40" s="200">
        <f>SUM(G3:G21,G23,G25:G31)</f>
        <v>0</v>
      </c>
      <c r="H40" s="200">
        <f>SUM(H3:H21,H23,H25:H31)</f>
        <v>0</v>
      </c>
      <c r="N40" s="196">
        <f>SUM(N3:N21,N23,N25:N31)</f>
        <v>9337121.9099999983</v>
      </c>
      <c r="O40" s="200">
        <f>SUM(O3:O21,O23,O25:O31)</f>
        <v>660</v>
      </c>
      <c r="P40" s="200">
        <f>SUM(P3:P21,P23,P25:P31)</f>
        <v>609</v>
      </c>
      <c r="Q40" s="200">
        <f>SUM(Q3:Q21,Q23,Q25:Q31)</f>
        <v>538</v>
      </c>
    </row>
    <row r="41" spans="1:19" x14ac:dyDescent="0.2">
      <c r="D41" s="44"/>
      <c r="E41" s="191">
        <f>SUM(E2:E31)</f>
        <v>0</v>
      </c>
      <c r="F41" s="121">
        <f>SUM(F2:F31)</f>
        <v>0</v>
      </c>
      <c r="G41" s="121">
        <f>SUM(G2:G31)</f>
        <v>0</v>
      </c>
      <c r="H41" s="121">
        <f>SUM(H2:H31)</f>
        <v>0</v>
      </c>
      <c r="N41" s="191">
        <f>SUM(N2:N31)</f>
        <v>18674243.819999997</v>
      </c>
      <c r="O41" s="121">
        <f>SUM(O2:O31)</f>
        <v>1320</v>
      </c>
      <c r="P41" s="121">
        <f>SUM(P2:P31)</f>
        <v>1218</v>
      </c>
      <c r="Q41" s="121">
        <f>SUM(Q2:Q31)</f>
        <v>1076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Arkusz46">
    <tabColor theme="0"/>
  </sheetPr>
  <dimension ref="A1:S41"/>
  <sheetViews>
    <sheetView zoomScale="80" zoomScaleNormal="80" workbookViewId="0">
      <selection activeCell="J2" sqref="J2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195" t="s">
        <v>22</v>
      </c>
      <c r="B1" s="195" t="s">
        <v>23</v>
      </c>
      <c r="C1" s="195" t="s">
        <v>24</v>
      </c>
      <c r="D1" s="121" t="s">
        <v>25</v>
      </c>
      <c r="E1" s="193" t="s">
        <v>387</v>
      </c>
      <c r="F1" s="191" t="s">
        <v>388</v>
      </c>
      <c r="G1" s="191" t="s">
        <v>389</v>
      </c>
      <c r="H1" s="191" t="s">
        <v>390</v>
      </c>
      <c r="J1" s="195" t="s">
        <v>22</v>
      </c>
      <c r="K1" s="195" t="s">
        <v>23</v>
      </c>
      <c r="L1" s="195" t="s">
        <v>24</v>
      </c>
      <c r="M1" s="121" t="s">
        <v>25</v>
      </c>
      <c r="N1" s="193" t="s">
        <v>387</v>
      </c>
      <c r="O1" s="191" t="s">
        <v>388</v>
      </c>
      <c r="P1" s="191" t="s">
        <v>389</v>
      </c>
      <c r="Q1" s="191" t="s">
        <v>390</v>
      </c>
    </row>
    <row r="2" spans="1:19" ht="15" customHeight="1" x14ac:dyDescent="0.2">
      <c r="A2" s="195"/>
      <c r="B2" s="195"/>
      <c r="C2" s="195"/>
      <c r="D2" s="121"/>
      <c r="E2" s="191"/>
      <c r="F2" s="121"/>
      <c r="G2" s="121"/>
      <c r="H2" s="121"/>
      <c r="J2" s="195" t="s">
        <v>479</v>
      </c>
      <c r="K2" s="195" t="s">
        <v>26</v>
      </c>
      <c r="L2" s="195" t="s">
        <v>423</v>
      </c>
      <c r="M2" s="121" t="s">
        <v>27</v>
      </c>
      <c r="N2" s="196">
        <v>7335035.4400000004</v>
      </c>
      <c r="O2" s="200">
        <v>391</v>
      </c>
      <c r="P2" s="200">
        <v>329</v>
      </c>
      <c r="Q2" s="200">
        <v>292</v>
      </c>
      <c r="S2" s="44" t="s">
        <v>395</v>
      </c>
    </row>
    <row r="3" spans="1:19" x14ac:dyDescent="0.2">
      <c r="A3" s="195"/>
      <c r="B3" s="195"/>
      <c r="C3" s="195"/>
      <c r="D3" s="121"/>
      <c r="E3" s="191"/>
      <c r="F3" s="121"/>
      <c r="G3" s="121"/>
      <c r="H3" s="121"/>
      <c r="I3" s="186">
        <v>1</v>
      </c>
      <c r="J3" s="195" t="s">
        <v>479</v>
      </c>
      <c r="K3" s="195" t="s">
        <v>26</v>
      </c>
      <c r="L3" s="195" t="s">
        <v>423</v>
      </c>
      <c r="M3" s="121" t="s">
        <v>28</v>
      </c>
      <c r="N3" s="197">
        <v>1728852</v>
      </c>
      <c r="O3" s="198">
        <v>134</v>
      </c>
      <c r="P3" s="198">
        <v>104</v>
      </c>
      <c r="Q3" s="198">
        <v>92</v>
      </c>
      <c r="R3" s="186">
        <v>1</v>
      </c>
      <c r="S3" s="187" t="s">
        <v>396</v>
      </c>
    </row>
    <row r="4" spans="1:19" x14ac:dyDescent="0.2">
      <c r="A4" s="195"/>
      <c r="B4" s="195"/>
      <c r="C4" s="195"/>
      <c r="D4" s="121"/>
      <c r="E4" s="191"/>
      <c r="F4" s="121"/>
      <c r="G4" s="121"/>
      <c r="H4" s="121"/>
      <c r="I4" s="186">
        <v>2</v>
      </c>
      <c r="J4" s="195" t="s">
        <v>479</v>
      </c>
      <c r="K4" s="195" t="s">
        <v>26</v>
      </c>
      <c r="L4" s="195" t="s">
        <v>423</v>
      </c>
      <c r="M4" s="121" t="s">
        <v>29</v>
      </c>
      <c r="N4" s="197">
        <v>140020.38</v>
      </c>
      <c r="O4" s="198">
        <v>16</v>
      </c>
      <c r="P4" s="198">
        <v>13</v>
      </c>
      <c r="Q4" s="198">
        <v>8</v>
      </c>
      <c r="R4" s="186">
        <v>2</v>
      </c>
      <c r="S4" s="187" t="s">
        <v>397</v>
      </c>
    </row>
    <row r="5" spans="1:19" x14ac:dyDescent="0.2">
      <c r="A5" s="195"/>
      <c r="B5" s="195"/>
      <c r="C5" s="195"/>
      <c r="D5" s="121"/>
      <c r="E5" s="191"/>
      <c r="F5" s="121"/>
      <c r="G5" s="121"/>
      <c r="H5" s="121"/>
      <c r="I5" s="186">
        <v>3</v>
      </c>
      <c r="J5" s="195" t="s">
        <v>479</v>
      </c>
      <c r="K5" s="195" t="s">
        <v>26</v>
      </c>
      <c r="L5" s="195" t="s">
        <v>423</v>
      </c>
      <c r="M5" s="121" t="s">
        <v>30</v>
      </c>
      <c r="N5" s="197">
        <v>538034.99</v>
      </c>
      <c r="O5" s="198">
        <v>61</v>
      </c>
      <c r="P5" s="198">
        <v>39</v>
      </c>
      <c r="Q5" s="198">
        <v>35</v>
      </c>
      <c r="R5" s="186">
        <v>3</v>
      </c>
      <c r="S5" s="187" t="s">
        <v>399</v>
      </c>
    </row>
    <row r="6" spans="1:19" x14ac:dyDescent="0.2">
      <c r="A6" s="195"/>
      <c r="B6" s="195"/>
      <c r="C6" s="195"/>
      <c r="D6" s="121"/>
      <c r="E6" s="191"/>
      <c r="F6" s="121"/>
      <c r="G6" s="121"/>
      <c r="H6" s="121"/>
      <c r="I6" s="186">
        <v>4</v>
      </c>
      <c r="J6" s="195" t="s">
        <v>479</v>
      </c>
      <c r="K6" s="195" t="s">
        <v>26</v>
      </c>
      <c r="L6" s="195" t="s">
        <v>423</v>
      </c>
      <c r="M6" s="121" t="s">
        <v>31</v>
      </c>
      <c r="N6" s="197">
        <v>1021107.02</v>
      </c>
      <c r="O6" s="198">
        <v>49</v>
      </c>
      <c r="P6" s="198">
        <v>33</v>
      </c>
      <c r="Q6" s="198">
        <v>32</v>
      </c>
      <c r="R6" s="186">
        <v>4</v>
      </c>
      <c r="S6" s="187" t="s">
        <v>398</v>
      </c>
    </row>
    <row r="7" spans="1:19" x14ac:dyDescent="0.2">
      <c r="A7" s="195"/>
      <c r="B7" s="195"/>
      <c r="C7" s="195"/>
      <c r="D7" s="121"/>
      <c r="E7" s="191"/>
      <c r="F7" s="121"/>
      <c r="G7" s="121"/>
      <c r="H7" s="121"/>
      <c r="I7" s="189" t="s">
        <v>417</v>
      </c>
      <c r="J7" s="195" t="s">
        <v>479</v>
      </c>
      <c r="K7" s="195" t="s">
        <v>26</v>
      </c>
      <c r="L7" s="195" t="s">
        <v>423</v>
      </c>
      <c r="M7" s="121" t="s">
        <v>32</v>
      </c>
      <c r="N7" s="199">
        <v>0</v>
      </c>
      <c r="O7" s="198">
        <v>0</v>
      </c>
      <c r="P7" s="198">
        <v>0</v>
      </c>
      <c r="Q7" s="198">
        <v>0</v>
      </c>
      <c r="R7" s="189" t="s">
        <v>417</v>
      </c>
      <c r="S7" s="187" t="s">
        <v>400</v>
      </c>
    </row>
    <row r="8" spans="1:19" x14ac:dyDescent="0.2">
      <c r="A8" s="195"/>
      <c r="B8" s="195"/>
      <c r="C8" s="195"/>
      <c r="D8" s="121"/>
      <c r="E8" s="191"/>
      <c r="F8" s="121"/>
      <c r="G8" s="121"/>
      <c r="H8" s="121"/>
      <c r="I8" s="121"/>
      <c r="J8" s="195" t="s">
        <v>479</v>
      </c>
      <c r="K8" s="195" t="s">
        <v>26</v>
      </c>
      <c r="L8" s="195" t="s">
        <v>423</v>
      </c>
      <c r="M8" s="121" t="s">
        <v>33</v>
      </c>
      <c r="N8" s="196">
        <v>0</v>
      </c>
      <c r="O8" s="200">
        <v>0</v>
      </c>
      <c r="P8" s="200">
        <v>0</v>
      </c>
      <c r="Q8" s="200">
        <v>0</v>
      </c>
      <c r="R8" s="121"/>
      <c r="S8" s="44" t="s">
        <v>401</v>
      </c>
    </row>
    <row r="9" spans="1:19" x14ac:dyDescent="0.2">
      <c r="A9" s="195"/>
      <c r="B9" s="195"/>
      <c r="C9" s="195"/>
      <c r="D9" s="121"/>
      <c r="E9" s="191"/>
      <c r="F9" s="121"/>
      <c r="G9" s="121"/>
      <c r="H9" s="121"/>
      <c r="I9" s="121"/>
      <c r="J9" s="195" t="s">
        <v>479</v>
      </c>
      <c r="K9" s="195" t="s">
        <v>26</v>
      </c>
      <c r="L9" s="195" t="s">
        <v>423</v>
      </c>
      <c r="M9" s="121" t="s">
        <v>34</v>
      </c>
      <c r="N9" s="196">
        <v>0</v>
      </c>
      <c r="O9" s="200">
        <v>0</v>
      </c>
      <c r="P9" s="200">
        <v>0</v>
      </c>
      <c r="Q9" s="200">
        <v>0</v>
      </c>
      <c r="R9" s="121"/>
      <c r="S9" s="44" t="s">
        <v>6</v>
      </c>
    </row>
    <row r="10" spans="1:19" ht="15" customHeight="1" x14ac:dyDescent="0.2">
      <c r="A10" s="195"/>
      <c r="B10" s="195"/>
      <c r="C10" s="195"/>
      <c r="D10" s="121"/>
      <c r="E10" s="191"/>
      <c r="F10" s="121"/>
      <c r="G10" s="121"/>
      <c r="H10" s="121"/>
      <c r="I10" s="121"/>
      <c r="J10" s="195" t="s">
        <v>479</v>
      </c>
      <c r="K10" s="195" t="s">
        <v>26</v>
      </c>
      <c r="L10" s="195" t="s">
        <v>423</v>
      </c>
      <c r="M10" s="121" t="s">
        <v>35</v>
      </c>
      <c r="N10" s="196">
        <v>0</v>
      </c>
      <c r="O10" s="200">
        <v>0</v>
      </c>
      <c r="P10" s="200">
        <v>0</v>
      </c>
      <c r="Q10" s="200">
        <v>0</v>
      </c>
      <c r="R10" s="121"/>
      <c r="S10" s="44" t="s">
        <v>402</v>
      </c>
    </row>
    <row r="11" spans="1:19" ht="15" customHeight="1" x14ac:dyDescent="0.2">
      <c r="A11" s="195"/>
      <c r="B11" s="195"/>
      <c r="C11" s="195"/>
      <c r="D11" s="121"/>
      <c r="E11" s="191"/>
      <c r="F11" s="121"/>
      <c r="G11" s="121"/>
      <c r="H11" s="121"/>
      <c r="I11" s="121"/>
      <c r="J11" s="195" t="s">
        <v>479</v>
      </c>
      <c r="K11" s="195" t="s">
        <v>26</v>
      </c>
      <c r="L11" s="195" t="s">
        <v>423</v>
      </c>
      <c r="M11" s="121" t="s">
        <v>36</v>
      </c>
      <c r="N11" s="196">
        <v>0</v>
      </c>
      <c r="O11" s="200">
        <v>0</v>
      </c>
      <c r="P11" s="200">
        <v>0</v>
      </c>
      <c r="Q11" s="200">
        <v>0</v>
      </c>
      <c r="R11" s="121"/>
      <c r="S11" s="44" t="s">
        <v>8</v>
      </c>
    </row>
    <row r="12" spans="1:19" x14ac:dyDescent="0.2">
      <c r="A12" s="195"/>
      <c r="B12" s="195"/>
      <c r="C12" s="195"/>
      <c r="D12" s="121"/>
      <c r="E12" s="191"/>
      <c r="F12" s="121"/>
      <c r="G12" s="121"/>
      <c r="H12" s="121"/>
      <c r="I12" s="121"/>
      <c r="J12" s="195" t="s">
        <v>479</v>
      </c>
      <c r="K12" s="195" t="s">
        <v>26</v>
      </c>
      <c r="L12" s="195" t="s">
        <v>423</v>
      </c>
      <c r="M12" s="121" t="s">
        <v>37</v>
      </c>
      <c r="N12" s="196">
        <v>0</v>
      </c>
      <c r="O12" s="200">
        <v>0</v>
      </c>
      <c r="P12" s="200">
        <v>0</v>
      </c>
      <c r="Q12" s="200">
        <v>0</v>
      </c>
      <c r="R12" s="121"/>
      <c r="S12" s="44" t="s">
        <v>403</v>
      </c>
    </row>
    <row r="13" spans="1:19" x14ac:dyDescent="0.2">
      <c r="A13" s="195"/>
      <c r="B13" s="195"/>
      <c r="C13" s="195"/>
      <c r="D13" s="121"/>
      <c r="E13" s="191"/>
      <c r="F13" s="121"/>
      <c r="G13" s="121"/>
      <c r="H13" s="121"/>
      <c r="I13" s="189" t="s">
        <v>419</v>
      </c>
      <c r="J13" s="195" t="s">
        <v>479</v>
      </c>
      <c r="K13" s="195" t="s">
        <v>26</v>
      </c>
      <c r="L13" s="195" t="s">
        <v>423</v>
      </c>
      <c r="M13" s="121" t="s">
        <v>26</v>
      </c>
      <c r="N13" s="199">
        <v>0</v>
      </c>
      <c r="O13" s="198">
        <v>0</v>
      </c>
      <c r="P13" s="198">
        <v>0</v>
      </c>
      <c r="Q13" s="198">
        <v>0</v>
      </c>
      <c r="R13" s="189" t="s">
        <v>419</v>
      </c>
      <c r="S13" s="187" t="s">
        <v>9</v>
      </c>
    </row>
    <row r="14" spans="1:19" ht="15" customHeight="1" x14ac:dyDescent="0.2">
      <c r="A14" s="195"/>
      <c r="B14" s="195"/>
      <c r="C14" s="195"/>
      <c r="D14" s="121"/>
      <c r="E14" s="191"/>
      <c r="F14" s="121"/>
      <c r="G14" s="121"/>
      <c r="H14" s="121"/>
      <c r="I14" s="121"/>
      <c r="J14" s="195" t="s">
        <v>479</v>
      </c>
      <c r="K14" s="195" t="s">
        <v>26</v>
      </c>
      <c r="L14" s="195" t="s">
        <v>423</v>
      </c>
      <c r="M14" s="121" t="s">
        <v>38</v>
      </c>
      <c r="N14" s="196">
        <v>0</v>
      </c>
      <c r="O14" s="200">
        <v>0</v>
      </c>
      <c r="P14" s="200">
        <v>0</v>
      </c>
      <c r="Q14" s="200">
        <v>0</v>
      </c>
      <c r="R14" s="121"/>
      <c r="S14" s="44" t="s">
        <v>404</v>
      </c>
    </row>
    <row r="15" spans="1:19" ht="15" customHeight="1" x14ac:dyDescent="0.2">
      <c r="A15" s="195"/>
      <c r="B15" s="195"/>
      <c r="C15" s="195"/>
      <c r="D15" s="121"/>
      <c r="E15" s="191"/>
      <c r="F15" s="121"/>
      <c r="G15" s="121"/>
      <c r="H15" s="121"/>
      <c r="I15" s="189" t="s">
        <v>51</v>
      </c>
      <c r="J15" s="195" t="s">
        <v>479</v>
      </c>
      <c r="K15" s="195" t="s">
        <v>26</v>
      </c>
      <c r="L15" s="195" t="s">
        <v>423</v>
      </c>
      <c r="M15" s="121" t="s">
        <v>39</v>
      </c>
      <c r="N15" s="199">
        <v>658000</v>
      </c>
      <c r="O15" s="198">
        <v>47</v>
      </c>
      <c r="P15" s="198">
        <v>44</v>
      </c>
      <c r="Q15" s="198">
        <v>34</v>
      </c>
      <c r="R15" s="189" t="s">
        <v>51</v>
      </c>
      <c r="S15" s="187" t="s">
        <v>11</v>
      </c>
    </row>
    <row r="16" spans="1:19" x14ac:dyDescent="0.2">
      <c r="A16" s="195"/>
      <c r="B16" s="195"/>
      <c r="C16" s="195"/>
      <c r="D16" s="121"/>
      <c r="E16" s="191"/>
      <c r="F16" s="121"/>
      <c r="G16" s="121"/>
      <c r="H16" s="121"/>
      <c r="I16" s="189" t="s">
        <v>418</v>
      </c>
      <c r="J16" s="195" t="s">
        <v>479</v>
      </c>
      <c r="K16" s="195" t="s">
        <v>26</v>
      </c>
      <c r="L16" s="195" t="s">
        <v>423</v>
      </c>
      <c r="M16" s="121" t="s">
        <v>40</v>
      </c>
      <c r="N16" s="199">
        <v>0</v>
      </c>
      <c r="O16" s="198">
        <v>0</v>
      </c>
      <c r="P16" s="198">
        <v>0</v>
      </c>
      <c r="Q16" s="198">
        <v>0</v>
      </c>
      <c r="R16" s="189" t="s">
        <v>418</v>
      </c>
      <c r="S16" s="187" t="s">
        <v>405</v>
      </c>
    </row>
    <row r="17" spans="1:19" x14ac:dyDescent="0.2">
      <c r="A17" s="195"/>
      <c r="B17" s="195"/>
      <c r="C17" s="195"/>
      <c r="D17" s="121"/>
      <c r="E17" s="191"/>
      <c r="F17" s="121"/>
      <c r="G17" s="121"/>
      <c r="H17" s="121"/>
      <c r="I17" s="121"/>
      <c r="J17" s="195" t="s">
        <v>479</v>
      </c>
      <c r="K17" s="195" t="s">
        <v>26</v>
      </c>
      <c r="L17" s="195" t="s">
        <v>423</v>
      </c>
      <c r="M17" s="121" t="s">
        <v>41</v>
      </c>
      <c r="N17" s="196">
        <v>0</v>
      </c>
      <c r="O17" s="200">
        <v>0</v>
      </c>
      <c r="P17" s="200">
        <v>0</v>
      </c>
      <c r="Q17" s="200">
        <v>0</v>
      </c>
      <c r="R17" s="121"/>
      <c r="S17" s="44" t="s">
        <v>406</v>
      </c>
    </row>
    <row r="18" spans="1:19" ht="15" customHeight="1" x14ac:dyDescent="0.2">
      <c r="A18" s="195"/>
      <c r="B18" s="195"/>
      <c r="C18" s="195"/>
      <c r="D18" s="121"/>
      <c r="E18" s="191"/>
      <c r="F18" s="121"/>
      <c r="G18" s="121"/>
      <c r="H18" s="121"/>
      <c r="I18" s="189" t="s">
        <v>420</v>
      </c>
      <c r="J18" s="195" t="s">
        <v>479</v>
      </c>
      <c r="K18" s="195" t="s">
        <v>26</v>
      </c>
      <c r="L18" s="195" t="s">
        <v>423</v>
      </c>
      <c r="M18" s="121" t="s">
        <v>42</v>
      </c>
      <c r="N18" s="199">
        <v>0</v>
      </c>
      <c r="O18" s="198">
        <v>0</v>
      </c>
      <c r="P18" s="198">
        <v>0</v>
      </c>
      <c r="Q18" s="198">
        <v>0</v>
      </c>
      <c r="R18" s="189" t="s">
        <v>420</v>
      </c>
      <c r="S18" s="187" t="s">
        <v>376</v>
      </c>
    </row>
    <row r="19" spans="1:19" ht="15" customHeight="1" x14ac:dyDescent="0.2">
      <c r="A19" s="195"/>
      <c r="B19" s="195"/>
      <c r="C19" s="195"/>
      <c r="D19" s="121"/>
      <c r="E19" s="191"/>
      <c r="F19" s="121"/>
      <c r="G19" s="121"/>
      <c r="H19" s="121"/>
      <c r="I19" s="189" t="s">
        <v>416</v>
      </c>
      <c r="J19" s="195" t="s">
        <v>479</v>
      </c>
      <c r="K19" s="195" t="s">
        <v>26</v>
      </c>
      <c r="L19" s="195" t="s">
        <v>423</v>
      </c>
      <c r="M19" s="121" t="s">
        <v>43</v>
      </c>
      <c r="N19" s="199">
        <v>0</v>
      </c>
      <c r="O19" s="198">
        <v>0</v>
      </c>
      <c r="P19" s="198">
        <v>0</v>
      </c>
      <c r="Q19" s="198">
        <v>0</v>
      </c>
      <c r="R19" s="189" t="s">
        <v>416</v>
      </c>
      <c r="S19" s="187" t="s">
        <v>377</v>
      </c>
    </row>
    <row r="20" spans="1:19" x14ac:dyDescent="0.2">
      <c r="A20" s="195"/>
      <c r="B20" s="195"/>
      <c r="C20" s="195"/>
      <c r="D20" s="121"/>
      <c r="E20" s="191"/>
      <c r="F20" s="121"/>
      <c r="G20" s="121"/>
      <c r="H20" s="121"/>
      <c r="I20" s="121"/>
      <c r="J20" s="195" t="s">
        <v>479</v>
      </c>
      <c r="K20" s="195" t="s">
        <v>26</v>
      </c>
      <c r="L20" s="195" t="s">
        <v>423</v>
      </c>
      <c r="M20" s="121" t="s">
        <v>44</v>
      </c>
      <c r="N20" s="196">
        <v>0</v>
      </c>
      <c r="O20" s="200">
        <v>0</v>
      </c>
      <c r="P20" s="200">
        <v>0</v>
      </c>
      <c r="Q20" s="200">
        <v>0</v>
      </c>
      <c r="R20" s="121"/>
      <c r="S20" s="44" t="s">
        <v>15</v>
      </c>
    </row>
    <row r="21" spans="1:19" x14ac:dyDescent="0.2">
      <c r="A21" s="195"/>
      <c r="B21" s="195"/>
      <c r="C21" s="195"/>
      <c r="D21" s="121"/>
      <c r="E21" s="191"/>
      <c r="F21" s="121"/>
      <c r="G21" s="121"/>
      <c r="H21" s="121"/>
      <c r="I21" s="186">
        <v>6</v>
      </c>
      <c r="J21" s="195" t="s">
        <v>479</v>
      </c>
      <c r="K21" s="195" t="s">
        <v>26</v>
      </c>
      <c r="L21" s="195" t="s">
        <v>423</v>
      </c>
      <c r="M21" s="121" t="s">
        <v>45</v>
      </c>
      <c r="N21" s="197">
        <v>1977365.01</v>
      </c>
      <c r="O21" s="198">
        <v>50</v>
      </c>
      <c r="P21" s="198">
        <v>64</v>
      </c>
      <c r="Q21" s="198">
        <v>59</v>
      </c>
      <c r="R21" s="186">
        <v>6</v>
      </c>
      <c r="S21" s="187" t="s">
        <v>16</v>
      </c>
    </row>
    <row r="22" spans="1:19" x14ac:dyDescent="0.2">
      <c r="A22" s="195"/>
      <c r="B22" s="195"/>
      <c r="C22" s="195"/>
      <c r="D22" s="121"/>
      <c r="E22" s="191"/>
      <c r="F22" s="121"/>
      <c r="G22" s="121"/>
      <c r="H22" s="121"/>
      <c r="I22" s="121"/>
      <c r="J22" s="195" t="s">
        <v>479</v>
      </c>
      <c r="K22" s="195" t="s">
        <v>26</v>
      </c>
      <c r="L22" s="195" t="s">
        <v>423</v>
      </c>
      <c r="M22" s="121" t="s">
        <v>46</v>
      </c>
      <c r="N22" s="196">
        <v>0</v>
      </c>
      <c r="O22" s="200">
        <v>0</v>
      </c>
      <c r="P22" s="200">
        <v>0</v>
      </c>
      <c r="Q22" s="200">
        <v>0</v>
      </c>
      <c r="R22" s="121"/>
      <c r="S22" s="44" t="s">
        <v>407</v>
      </c>
    </row>
    <row r="23" spans="1:19" ht="15" customHeight="1" x14ac:dyDescent="0.2">
      <c r="A23" s="195"/>
      <c r="B23" s="195"/>
      <c r="C23" s="195"/>
      <c r="D23" s="121"/>
      <c r="E23" s="191"/>
      <c r="F23" s="121"/>
      <c r="G23" s="121"/>
      <c r="H23" s="121"/>
      <c r="I23" s="186">
        <v>5</v>
      </c>
      <c r="J23" s="195" t="s">
        <v>479</v>
      </c>
      <c r="K23" s="195" t="s">
        <v>26</v>
      </c>
      <c r="L23" s="195" t="s">
        <v>423</v>
      </c>
      <c r="M23" s="121" t="s">
        <v>47</v>
      </c>
      <c r="N23" s="197">
        <v>1075256.04</v>
      </c>
      <c r="O23" s="198">
        <v>27</v>
      </c>
      <c r="P23" s="198">
        <v>31</v>
      </c>
      <c r="Q23" s="198">
        <v>31</v>
      </c>
      <c r="R23" s="186">
        <v>5</v>
      </c>
      <c r="S23" s="187" t="s">
        <v>17</v>
      </c>
    </row>
    <row r="24" spans="1:19" ht="15" customHeight="1" x14ac:dyDescent="0.2">
      <c r="A24" s="195"/>
      <c r="B24" s="195"/>
      <c r="C24" s="195"/>
      <c r="D24" s="121"/>
      <c r="E24" s="191"/>
      <c r="F24" s="121"/>
      <c r="G24" s="121"/>
      <c r="H24" s="121"/>
      <c r="I24" s="45"/>
      <c r="J24" s="195" t="s">
        <v>479</v>
      </c>
      <c r="K24" s="195" t="s">
        <v>26</v>
      </c>
      <c r="L24" s="195" t="s">
        <v>423</v>
      </c>
      <c r="M24" s="121" t="s">
        <v>48</v>
      </c>
      <c r="N24" s="196">
        <v>0</v>
      </c>
      <c r="O24" s="200">
        <v>0</v>
      </c>
      <c r="P24" s="200">
        <v>0</v>
      </c>
      <c r="Q24" s="200">
        <v>0</v>
      </c>
      <c r="S24" s="44" t="s">
        <v>407</v>
      </c>
    </row>
    <row r="25" spans="1:19" ht="15" customHeight="1" x14ac:dyDescent="0.2">
      <c r="A25" s="195"/>
      <c r="B25" s="195"/>
      <c r="C25" s="195"/>
      <c r="D25" s="121"/>
      <c r="E25" s="191"/>
      <c r="F25" s="121"/>
      <c r="G25" s="121"/>
      <c r="H25" s="121"/>
      <c r="I25" s="45"/>
      <c r="J25" s="195" t="s">
        <v>479</v>
      </c>
      <c r="K25" s="195" t="s">
        <v>26</v>
      </c>
      <c r="L25" s="195" t="s">
        <v>423</v>
      </c>
      <c r="M25" s="121" t="s">
        <v>319</v>
      </c>
      <c r="N25" s="196">
        <v>0</v>
      </c>
      <c r="O25" s="200">
        <v>0</v>
      </c>
      <c r="P25" s="200">
        <v>0</v>
      </c>
      <c r="Q25" s="200">
        <v>0</v>
      </c>
      <c r="S25" s="44" t="s">
        <v>18</v>
      </c>
    </row>
    <row r="26" spans="1:19" ht="15" customHeight="1" x14ac:dyDescent="0.2">
      <c r="A26" s="195"/>
      <c r="B26" s="195"/>
      <c r="C26" s="195"/>
      <c r="D26" s="121"/>
      <c r="E26" s="191"/>
      <c r="F26" s="121"/>
      <c r="G26" s="121"/>
      <c r="H26" s="121"/>
      <c r="I26" s="190" t="s">
        <v>421</v>
      </c>
      <c r="J26" s="195" t="s">
        <v>479</v>
      </c>
      <c r="K26" s="195" t="s">
        <v>26</v>
      </c>
      <c r="L26" s="195" t="s">
        <v>423</v>
      </c>
      <c r="M26" s="121" t="s">
        <v>320</v>
      </c>
      <c r="N26" s="199">
        <v>0</v>
      </c>
      <c r="O26" s="198">
        <v>0</v>
      </c>
      <c r="P26" s="198">
        <v>0</v>
      </c>
      <c r="Q26" s="198">
        <v>0</v>
      </c>
      <c r="R26" s="190" t="s">
        <v>421</v>
      </c>
      <c r="S26" s="187" t="s">
        <v>358</v>
      </c>
    </row>
    <row r="27" spans="1:19" x14ac:dyDescent="0.2">
      <c r="A27" s="195"/>
      <c r="B27" s="195"/>
      <c r="C27" s="195"/>
      <c r="D27" s="121"/>
      <c r="E27" s="191"/>
      <c r="F27" s="121"/>
      <c r="G27" s="121"/>
      <c r="H27" s="121"/>
      <c r="I27" s="190" t="s">
        <v>415</v>
      </c>
      <c r="J27" s="195" t="s">
        <v>479</v>
      </c>
      <c r="K27" s="195" t="s">
        <v>26</v>
      </c>
      <c r="L27" s="195" t="s">
        <v>423</v>
      </c>
      <c r="M27" s="121" t="s">
        <v>321</v>
      </c>
      <c r="N27" s="199">
        <v>196400</v>
      </c>
      <c r="O27" s="198">
        <v>7</v>
      </c>
      <c r="P27" s="198">
        <v>1</v>
      </c>
      <c r="Q27" s="198">
        <v>1</v>
      </c>
      <c r="R27" s="190" t="s">
        <v>415</v>
      </c>
      <c r="S27" s="187" t="s">
        <v>408</v>
      </c>
    </row>
    <row r="28" spans="1:19" x14ac:dyDescent="0.2">
      <c r="A28" s="195"/>
      <c r="B28" s="195"/>
      <c r="C28" s="195"/>
      <c r="D28" s="121"/>
      <c r="E28" s="191"/>
      <c r="F28" s="121"/>
      <c r="G28" s="121"/>
      <c r="H28" s="121"/>
      <c r="J28" s="195" t="s">
        <v>479</v>
      </c>
      <c r="K28" s="195" t="s">
        <v>26</v>
      </c>
      <c r="L28" s="195" t="s">
        <v>423</v>
      </c>
      <c r="M28" s="121" t="s">
        <v>322</v>
      </c>
      <c r="N28" s="196">
        <v>0</v>
      </c>
      <c r="O28" s="200">
        <v>0</v>
      </c>
      <c r="P28" s="200">
        <v>0</v>
      </c>
      <c r="Q28" s="200">
        <v>0</v>
      </c>
      <c r="S28" s="44" t="s">
        <v>215</v>
      </c>
    </row>
    <row r="29" spans="1:19" x14ac:dyDescent="0.2">
      <c r="A29" s="195"/>
      <c r="B29" s="195"/>
      <c r="C29" s="195"/>
      <c r="D29" s="121"/>
      <c r="E29" s="191"/>
      <c r="F29" s="121"/>
      <c r="G29" s="121"/>
      <c r="H29" s="121"/>
      <c r="J29" s="195" t="s">
        <v>479</v>
      </c>
      <c r="K29" s="195" t="s">
        <v>26</v>
      </c>
      <c r="L29" s="195" t="s">
        <v>423</v>
      </c>
      <c r="M29" s="121" t="s">
        <v>391</v>
      </c>
      <c r="N29" s="196">
        <v>0</v>
      </c>
      <c r="O29" s="200">
        <v>0</v>
      </c>
      <c r="P29" s="200">
        <v>0</v>
      </c>
      <c r="Q29" s="200">
        <v>0</v>
      </c>
      <c r="S29" s="44" t="s">
        <v>409</v>
      </c>
    </row>
    <row r="30" spans="1:19" ht="15" customHeight="1" x14ac:dyDescent="0.2">
      <c r="A30" s="195"/>
      <c r="B30" s="195"/>
      <c r="C30" s="195"/>
      <c r="D30" s="121"/>
      <c r="E30" s="191"/>
      <c r="F30" s="121"/>
      <c r="G30" s="121"/>
      <c r="H30" s="121"/>
      <c r="J30" s="195" t="s">
        <v>479</v>
      </c>
      <c r="K30" s="195" t="s">
        <v>26</v>
      </c>
      <c r="L30" s="195" t="s">
        <v>423</v>
      </c>
      <c r="M30" s="121" t="s">
        <v>392</v>
      </c>
      <c r="N30" s="196">
        <v>0</v>
      </c>
      <c r="O30" s="200">
        <v>0</v>
      </c>
      <c r="P30" s="200">
        <v>0</v>
      </c>
      <c r="Q30" s="200">
        <v>0</v>
      </c>
      <c r="S30" s="44" t="s">
        <v>410</v>
      </c>
    </row>
    <row r="31" spans="1:19" x14ac:dyDescent="0.2">
      <c r="A31" s="195"/>
      <c r="B31" s="195"/>
      <c r="C31" s="195"/>
      <c r="D31" s="121"/>
      <c r="E31" s="191"/>
      <c r="F31" s="121"/>
      <c r="G31" s="121"/>
      <c r="H31" s="121"/>
      <c r="J31" s="195" t="s">
        <v>479</v>
      </c>
      <c r="K31" s="195" t="s">
        <v>26</v>
      </c>
      <c r="L31" s="195" t="s">
        <v>423</v>
      </c>
      <c r="M31" s="121" t="s">
        <v>393</v>
      </c>
      <c r="N31" s="196">
        <v>0</v>
      </c>
      <c r="O31" s="200">
        <v>0</v>
      </c>
      <c r="P31" s="200">
        <v>0</v>
      </c>
      <c r="Q31" s="200">
        <v>0</v>
      </c>
      <c r="S31" s="44" t="s">
        <v>411</v>
      </c>
    </row>
    <row r="32" spans="1:19" x14ac:dyDescent="0.2">
      <c r="A32" s="195"/>
      <c r="B32" s="195"/>
      <c r="C32" s="195"/>
      <c r="D32" s="201"/>
      <c r="E32" s="202"/>
      <c r="F32" s="201"/>
      <c r="G32" s="201"/>
      <c r="H32" s="201"/>
      <c r="J32" s="195" t="s">
        <v>479</v>
      </c>
      <c r="K32" s="195" t="s">
        <v>26</v>
      </c>
      <c r="L32" s="195" t="s">
        <v>423</v>
      </c>
      <c r="M32" s="201" t="s">
        <v>394</v>
      </c>
      <c r="N32" s="203">
        <v>14670070.880000001</v>
      </c>
      <c r="O32" s="204">
        <v>782</v>
      </c>
      <c r="P32" s="204">
        <v>658</v>
      </c>
      <c r="Q32" s="204">
        <v>584</v>
      </c>
      <c r="S32" s="185" t="s">
        <v>412</v>
      </c>
    </row>
    <row r="33" spans="1:19" x14ac:dyDescent="0.2">
      <c r="A33" s="195"/>
      <c r="B33" s="195"/>
      <c r="C33" s="195"/>
      <c r="D33" s="121"/>
      <c r="E33" s="191"/>
      <c r="F33" s="121"/>
      <c r="G33" s="121"/>
      <c r="H33" s="121"/>
      <c r="J33" s="195" t="s">
        <v>479</v>
      </c>
      <c r="K33" s="195" t="s">
        <v>26</v>
      </c>
      <c r="L33" s="195" t="s">
        <v>423</v>
      </c>
      <c r="M33" s="121" t="s">
        <v>49</v>
      </c>
      <c r="N33" s="196">
        <v>360</v>
      </c>
      <c r="O33" s="200">
        <v>0</v>
      </c>
      <c r="P33" s="200">
        <v>0</v>
      </c>
      <c r="Q33" s="200">
        <v>0</v>
      </c>
      <c r="S33" s="44" t="s">
        <v>413</v>
      </c>
    </row>
    <row r="34" spans="1:19" x14ac:dyDescent="0.2">
      <c r="A34" s="195"/>
      <c r="B34" s="195"/>
      <c r="C34" s="195"/>
      <c r="D34" s="121"/>
      <c r="E34" s="191"/>
      <c r="F34" s="121"/>
      <c r="G34" s="121"/>
      <c r="H34" s="121"/>
      <c r="J34" s="195" t="s">
        <v>479</v>
      </c>
      <c r="K34" s="195" t="s">
        <v>26</v>
      </c>
      <c r="L34" s="195" t="s">
        <v>423</v>
      </c>
      <c r="M34" s="121" t="s">
        <v>50</v>
      </c>
      <c r="N34" s="196">
        <v>60</v>
      </c>
      <c r="O34" s="200">
        <v>0</v>
      </c>
      <c r="P34" s="200">
        <v>0</v>
      </c>
      <c r="Q34" s="200">
        <v>0</v>
      </c>
      <c r="S34" s="44" t="s">
        <v>414</v>
      </c>
    </row>
    <row r="35" spans="1:19" x14ac:dyDescent="0.2">
      <c r="D35" s="188" t="s">
        <v>89</v>
      </c>
      <c r="E35" s="192">
        <f>SUM(E3:E6,E21,E23)</f>
        <v>0</v>
      </c>
      <c r="F35" s="186">
        <f>SUM(F3:F6,F21,F23)</f>
        <v>0</v>
      </c>
      <c r="G35" s="186">
        <f>SUM(G3:G6,G21,G23)</f>
        <v>0</v>
      </c>
      <c r="H35" s="186">
        <f>SUM(H3:H6,H21,H23)</f>
        <v>0</v>
      </c>
      <c r="M35" s="188" t="s">
        <v>89</v>
      </c>
      <c r="N35" s="192">
        <f>SUM(N3:N6,N21,N23)</f>
        <v>6480635.4400000004</v>
      </c>
      <c r="O35" s="186">
        <f>SUM(O3:O6,O21,O23)</f>
        <v>337</v>
      </c>
      <c r="P35" s="186">
        <f>SUM(P3:P6,P21,P23)</f>
        <v>284</v>
      </c>
      <c r="Q35" s="186">
        <f>SUM(Q3:Q6,Q21,Q23)</f>
        <v>257</v>
      </c>
    </row>
    <row r="36" spans="1:19" x14ac:dyDescent="0.2">
      <c r="D36" s="45" t="s">
        <v>99</v>
      </c>
      <c r="E36" s="94">
        <f>E3+E4+E5+E6+E21+E23</f>
        <v>0</v>
      </c>
      <c r="F36" s="121">
        <f>F3+F4+F5+F6+F21+F23</f>
        <v>0</v>
      </c>
      <c r="G36" s="121">
        <f>G3+G4+G5+G6+G21+G23</f>
        <v>0</v>
      </c>
      <c r="H36" s="121">
        <f>H3+H4+H5+H6+H21+H23</f>
        <v>0</v>
      </c>
      <c r="M36" s="45" t="s">
        <v>99</v>
      </c>
      <c r="N36" s="94">
        <f>N3+N4+N5+N6+N21+N23</f>
        <v>6480635.4400000004</v>
      </c>
      <c r="O36" s="121">
        <f>O3+O4+O5+O6+O21+O23</f>
        <v>337</v>
      </c>
      <c r="P36" s="121">
        <f>P3+P4+P5+P6+P21+P23</f>
        <v>284</v>
      </c>
      <c r="Q36" s="121">
        <f>Q3+Q4+Q5+Q6+Q21+Q23</f>
        <v>257</v>
      </c>
    </row>
    <row r="37" spans="1:19" x14ac:dyDescent="0.2">
      <c r="D37" s="188" t="s">
        <v>272</v>
      </c>
      <c r="E37" s="192">
        <f>SUM(E3:E6,E15,E21,E23)</f>
        <v>0</v>
      </c>
      <c r="F37" s="186">
        <f>SUM(F3:F6,F15,F21,F23)</f>
        <v>0</v>
      </c>
      <c r="G37" s="186">
        <f>SUM(G3:G6,G15,G21,G23)</f>
        <v>0</v>
      </c>
      <c r="H37" s="186">
        <f>SUM(H3:H6,H15,H21,H23)</f>
        <v>0</v>
      </c>
      <c r="M37" s="188" t="s">
        <v>272</v>
      </c>
      <c r="N37" s="192">
        <f>SUM(N3:N6,N15,N21,N23)</f>
        <v>7138635.4400000004</v>
      </c>
      <c r="O37" s="186">
        <f>SUM(O3:O6,O15,O21,O23)</f>
        <v>384</v>
      </c>
      <c r="P37" s="186">
        <f>SUM(P3:P6,P15,P21,P23)</f>
        <v>328</v>
      </c>
      <c r="Q37" s="186">
        <f>SUM(Q3:Q6,Q15,Q21,Q23)</f>
        <v>291</v>
      </c>
    </row>
    <row r="38" spans="1:19" x14ac:dyDescent="0.2">
      <c r="D38" s="45" t="s">
        <v>99</v>
      </c>
      <c r="E38" s="94">
        <f>E3+E4+E5+E6+E15+E21+E23</f>
        <v>0</v>
      </c>
      <c r="F38" s="121">
        <f>F3+F4+F5+F6+F15+F21+F23</f>
        <v>0</v>
      </c>
      <c r="G38" s="121">
        <f>G3+G4+G5+G6+G15+G21+G23</f>
        <v>0</v>
      </c>
      <c r="H38" s="121">
        <f>H3+H4+H5+H6+H15+H21+H23</f>
        <v>0</v>
      </c>
      <c r="M38" s="45" t="s">
        <v>99</v>
      </c>
      <c r="N38" s="94">
        <f>N3+N4+N5+N6+N15+N21+N23</f>
        <v>7138635.4400000004</v>
      </c>
      <c r="O38" s="121">
        <f>O3+O4+O5+O6+O15+O21+O23</f>
        <v>384</v>
      </c>
      <c r="P38" s="121">
        <f>P3+P4+P5+P6+P15+P21+P23</f>
        <v>328</v>
      </c>
      <c r="Q38" s="121">
        <f>Q3+Q4+Q5+Q6+Q15+Q21+Q23</f>
        <v>291</v>
      </c>
    </row>
    <row r="39" spans="1:19" x14ac:dyDescent="0.2">
      <c r="D39" s="44"/>
      <c r="F39" s="45"/>
      <c r="G39" s="192" t="e">
        <f>SUM(H32)/G32*100</f>
        <v>#DIV/0!</v>
      </c>
      <c r="H39" s="193" t="e">
        <f>SUM(E32)/H32</f>
        <v>#DIV/0!</v>
      </c>
      <c r="P39" s="192">
        <f>SUM(Q32)/P32*100</f>
        <v>88.753799392097264</v>
      </c>
      <c r="Q39" s="193">
        <f>SUM(N32)/Q32</f>
        <v>25119.984383561645</v>
      </c>
    </row>
    <row r="40" spans="1:19" x14ac:dyDescent="0.2">
      <c r="D40" s="44"/>
      <c r="E40" s="196">
        <f>SUM(E3:E21,E23,E25:E31)</f>
        <v>0</v>
      </c>
      <c r="F40" s="200">
        <f>SUM(F3:F21,F23,F25:F31)</f>
        <v>0</v>
      </c>
      <c r="G40" s="200">
        <f>SUM(G3:G21,G23,G25:G31)</f>
        <v>0</v>
      </c>
      <c r="H40" s="200">
        <f>SUM(H3:H21,H23,H25:H31)</f>
        <v>0</v>
      </c>
      <c r="N40" s="196">
        <f>SUM(N3:N21,N23,N25:N31)</f>
        <v>7335035.4400000004</v>
      </c>
      <c r="O40" s="200">
        <f>SUM(O3:O21,O23,O25:O31)</f>
        <v>391</v>
      </c>
      <c r="P40" s="200">
        <f>SUM(P3:P21,P23,P25:P31)</f>
        <v>329</v>
      </c>
      <c r="Q40" s="200">
        <f>SUM(Q3:Q21,Q23,Q25:Q31)</f>
        <v>292</v>
      </c>
    </row>
    <row r="41" spans="1:19" x14ac:dyDescent="0.2">
      <c r="D41" s="44"/>
      <c r="E41" s="191">
        <f>SUM(E2:E31)</f>
        <v>0</v>
      </c>
      <c r="F41" s="121">
        <f>SUM(F2:F31)</f>
        <v>0</v>
      </c>
      <c r="G41" s="121">
        <f>SUM(G2:G31)</f>
        <v>0</v>
      </c>
      <c r="H41" s="121">
        <f>SUM(H2:H31)</f>
        <v>0</v>
      </c>
      <c r="N41" s="191">
        <f>SUM(N2:N31)</f>
        <v>14670070.880000003</v>
      </c>
      <c r="O41" s="121">
        <f>SUM(O2:O31)</f>
        <v>782</v>
      </c>
      <c r="P41" s="121">
        <f>SUM(P2:P31)</f>
        <v>658</v>
      </c>
      <c r="Q41" s="121">
        <f>SUM(Q2:Q31)</f>
        <v>584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Arkusz47">
    <tabColor theme="4" tint="0.59999389629810485"/>
  </sheetPr>
  <dimension ref="A1"/>
  <sheetViews>
    <sheetView zoomScale="80" zoomScaleNormal="80" workbookViewId="0"/>
  </sheetViews>
  <sheetFormatPr defaultRowHeight="15" x14ac:dyDescent="0.25"/>
  <cols>
    <col min="1" max="16384" width="9.140625" style="133"/>
  </cols>
  <sheetData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Arkusz48">
    <tabColor theme="0"/>
  </sheetPr>
  <dimension ref="A1:S41"/>
  <sheetViews>
    <sheetView zoomScale="80" zoomScaleNormal="80" workbookViewId="0">
      <selection activeCell="J1" sqref="J1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195" t="s">
        <v>22</v>
      </c>
      <c r="B1" s="195" t="s">
        <v>23</v>
      </c>
      <c r="C1" s="195" t="s">
        <v>24</v>
      </c>
      <c r="D1" s="121" t="s">
        <v>25</v>
      </c>
      <c r="E1" s="193" t="s">
        <v>387</v>
      </c>
      <c r="F1" s="191" t="s">
        <v>388</v>
      </c>
      <c r="G1" s="191" t="s">
        <v>389</v>
      </c>
      <c r="H1" s="191" t="s">
        <v>390</v>
      </c>
      <c r="J1" s="195" t="s">
        <v>22</v>
      </c>
      <c r="K1" s="195" t="s">
        <v>23</v>
      </c>
      <c r="L1" s="195" t="s">
        <v>24</v>
      </c>
      <c r="M1" s="121" t="s">
        <v>25</v>
      </c>
      <c r="N1" s="193" t="s">
        <v>387</v>
      </c>
      <c r="O1" s="191" t="s">
        <v>388</v>
      </c>
      <c r="P1" s="191" t="s">
        <v>389</v>
      </c>
      <c r="Q1" s="191" t="s">
        <v>390</v>
      </c>
    </row>
    <row r="2" spans="1:19" ht="15" customHeight="1" x14ac:dyDescent="0.2">
      <c r="A2" s="195"/>
      <c r="B2" s="195"/>
      <c r="C2" s="195"/>
      <c r="D2" s="121"/>
      <c r="E2" s="191"/>
      <c r="F2" s="121"/>
      <c r="G2" s="121"/>
      <c r="H2" s="121"/>
      <c r="J2" s="195" t="s">
        <v>479</v>
      </c>
      <c r="K2" s="195" t="s">
        <v>26</v>
      </c>
      <c r="L2" s="195" t="s">
        <v>422</v>
      </c>
      <c r="M2" s="121" t="s">
        <v>27</v>
      </c>
      <c r="N2" s="196">
        <v>18429756.440000001</v>
      </c>
      <c r="O2" s="200">
        <v>1212</v>
      </c>
      <c r="P2" s="200">
        <v>1028</v>
      </c>
      <c r="Q2" s="200">
        <v>813</v>
      </c>
      <c r="S2" s="44" t="s">
        <v>395</v>
      </c>
    </row>
    <row r="3" spans="1:19" x14ac:dyDescent="0.2">
      <c r="A3" s="195"/>
      <c r="B3" s="195"/>
      <c r="C3" s="195"/>
      <c r="D3" s="121"/>
      <c r="E3" s="191"/>
      <c r="F3" s="121"/>
      <c r="G3" s="121"/>
      <c r="H3" s="121"/>
      <c r="I3" s="186">
        <v>1</v>
      </c>
      <c r="J3" s="195" t="s">
        <v>479</v>
      </c>
      <c r="K3" s="195" t="s">
        <v>26</v>
      </c>
      <c r="L3" s="195" t="s">
        <v>422</v>
      </c>
      <c r="M3" s="121" t="s">
        <v>28</v>
      </c>
      <c r="N3" s="197">
        <v>2513726.5</v>
      </c>
      <c r="O3" s="198">
        <v>206</v>
      </c>
      <c r="P3" s="198">
        <v>135</v>
      </c>
      <c r="Q3" s="198">
        <v>121</v>
      </c>
      <c r="R3" s="186">
        <v>1</v>
      </c>
      <c r="S3" s="187" t="s">
        <v>396</v>
      </c>
    </row>
    <row r="4" spans="1:19" x14ac:dyDescent="0.2">
      <c r="A4" s="195"/>
      <c r="B4" s="195"/>
      <c r="C4" s="195"/>
      <c r="D4" s="121"/>
      <c r="E4" s="191"/>
      <c r="F4" s="121"/>
      <c r="G4" s="121"/>
      <c r="H4" s="121"/>
      <c r="I4" s="186">
        <v>2</v>
      </c>
      <c r="J4" s="195" t="s">
        <v>479</v>
      </c>
      <c r="K4" s="195" t="s">
        <v>26</v>
      </c>
      <c r="L4" s="195" t="s">
        <v>422</v>
      </c>
      <c r="M4" s="121" t="s">
        <v>29</v>
      </c>
      <c r="N4" s="197">
        <v>303702.8</v>
      </c>
      <c r="O4" s="198">
        <v>34</v>
      </c>
      <c r="P4" s="198">
        <v>29</v>
      </c>
      <c r="Q4" s="198">
        <v>19</v>
      </c>
      <c r="R4" s="186">
        <v>2</v>
      </c>
      <c r="S4" s="187" t="s">
        <v>397</v>
      </c>
    </row>
    <row r="5" spans="1:19" x14ac:dyDescent="0.2">
      <c r="A5" s="195"/>
      <c r="B5" s="195"/>
      <c r="C5" s="195"/>
      <c r="D5" s="121"/>
      <c r="E5" s="191"/>
      <c r="F5" s="121"/>
      <c r="G5" s="121"/>
      <c r="H5" s="121"/>
      <c r="I5" s="186">
        <v>3</v>
      </c>
      <c r="J5" s="195" t="s">
        <v>479</v>
      </c>
      <c r="K5" s="195" t="s">
        <v>26</v>
      </c>
      <c r="L5" s="195" t="s">
        <v>422</v>
      </c>
      <c r="M5" s="121" t="s">
        <v>30</v>
      </c>
      <c r="N5" s="197">
        <v>4101638.9</v>
      </c>
      <c r="O5" s="198">
        <v>414</v>
      </c>
      <c r="P5" s="198">
        <v>270</v>
      </c>
      <c r="Q5" s="198">
        <v>267</v>
      </c>
      <c r="R5" s="186">
        <v>3</v>
      </c>
      <c r="S5" s="187" t="s">
        <v>399</v>
      </c>
    </row>
    <row r="6" spans="1:19" x14ac:dyDescent="0.2">
      <c r="A6" s="195"/>
      <c r="B6" s="195"/>
      <c r="C6" s="195"/>
      <c r="D6" s="121"/>
      <c r="E6" s="191"/>
      <c r="F6" s="121"/>
      <c r="G6" s="121"/>
      <c r="H6" s="121"/>
      <c r="I6" s="186">
        <v>4</v>
      </c>
      <c r="J6" s="195" t="s">
        <v>479</v>
      </c>
      <c r="K6" s="195" t="s">
        <v>26</v>
      </c>
      <c r="L6" s="195" t="s">
        <v>422</v>
      </c>
      <c r="M6" s="121" t="s">
        <v>31</v>
      </c>
      <c r="N6" s="197">
        <v>1947929.33</v>
      </c>
      <c r="O6" s="198">
        <v>95</v>
      </c>
      <c r="P6" s="198">
        <v>72</v>
      </c>
      <c r="Q6" s="198">
        <v>68</v>
      </c>
      <c r="R6" s="186">
        <v>4</v>
      </c>
      <c r="S6" s="187" t="s">
        <v>398</v>
      </c>
    </row>
    <row r="7" spans="1:19" x14ac:dyDescent="0.2">
      <c r="A7" s="195"/>
      <c r="B7" s="195"/>
      <c r="C7" s="195"/>
      <c r="D7" s="121"/>
      <c r="E7" s="191"/>
      <c r="F7" s="121"/>
      <c r="G7" s="121"/>
      <c r="H7" s="121"/>
      <c r="I7" s="189" t="s">
        <v>417</v>
      </c>
      <c r="J7" s="195" t="s">
        <v>479</v>
      </c>
      <c r="K7" s="195" t="s">
        <v>26</v>
      </c>
      <c r="L7" s="195" t="s">
        <v>422</v>
      </c>
      <c r="M7" s="121" t="s">
        <v>32</v>
      </c>
      <c r="N7" s="199">
        <v>251148.46</v>
      </c>
      <c r="O7" s="198">
        <v>142</v>
      </c>
      <c r="P7" s="198">
        <v>94</v>
      </c>
      <c r="Q7" s="198">
        <v>7</v>
      </c>
      <c r="R7" s="189" t="s">
        <v>417</v>
      </c>
      <c r="S7" s="187" t="s">
        <v>400</v>
      </c>
    </row>
    <row r="8" spans="1:19" x14ac:dyDescent="0.2">
      <c r="A8" s="195"/>
      <c r="B8" s="195"/>
      <c r="C8" s="195"/>
      <c r="D8" s="121"/>
      <c r="E8" s="191"/>
      <c r="F8" s="121"/>
      <c r="G8" s="121"/>
      <c r="H8" s="121"/>
      <c r="I8" s="121"/>
      <c r="J8" s="195" t="s">
        <v>479</v>
      </c>
      <c r="K8" s="195" t="s">
        <v>26</v>
      </c>
      <c r="L8" s="195" t="s">
        <v>422</v>
      </c>
      <c r="M8" s="121" t="s">
        <v>33</v>
      </c>
      <c r="N8" s="196">
        <v>0</v>
      </c>
      <c r="O8" s="200">
        <v>0</v>
      </c>
      <c r="P8" s="200">
        <v>0</v>
      </c>
      <c r="Q8" s="200">
        <v>0</v>
      </c>
      <c r="R8" s="121"/>
      <c r="S8" s="44" t="s">
        <v>401</v>
      </c>
    </row>
    <row r="9" spans="1:19" x14ac:dyDescent="0.2">
      <c r="A9" s="195"/>
      <c r="B9" s="195"/>
      <c r="C9" s="195"/>
      <c r="D9" s="121"/>
      <c r="E9" s="191"/>
      <c r="F9" s="121"/>
      <c r="G9" s="121"/>
      <c r="H9" s="121"/>
      <c r="I9" s="121"/>
      <c r="J9" s="195" t="s">
        <v>479</v>
      </c>
      <c r="K9" s="195" t="s">
        <v>26</v>
      </c>
      <c r="L9" s="195" t="s">
        <v>422</v>
      </c>
      <c r="M9" s="121" t="s">
        <v>34</v>
      </c>
      <c r="N9" s="196">
        <v>0</v>
      </c>
      <c r="O9" s="200">
        <v>0</v>
      </c>
      <c r="P9" s="200">
        <v>0</v>
      </c>
      <c r="Q9" s="200">
        <v>0</v>
      </c>
      <c r="R9" s="121"/>
      <c r="S9" s="44" t="s">
        <v>6</v>
      </c>
    </row>
    <row r="10" spans="1:19" ht="15" customHeight="1" x14ac:dyDescent="0.2">
      <c r="A10" s="195"/>
      <c r="B10" s="195"/>
      <c r="C10" s="195"/>
      <c r="D10" s="121"/>
      <c r="E10" s="191"/>
      <c r="F10" s="121"/>
      <c r="G10" s="121"/>
      <c r="H10" s="121"/>
      <c r="I10" s="121"/>
      <c r="J10" s="195" t="s">
        <v>479</v>
      </c>
      <c r="K10" s="195" t="s">
        <v>26</v>
      </c>
      <c r="L10" s="195" t="s">
        <v>422</v>
      </c>
      <c r="M10" s="121" t="s">
        <v>35</v>
      </c>
      <c r="N10" s="196">
        <v>0</v>
      </c>
      <c r="O10" s="200">
        <v>0</v>
      </c>
      <c r="P10" s="200">
        <v>0</v>
      </c>
      <c r="Q10" s="200">
        <v>0</v>
      </c>
      <c r="R10" s="121"/>
      <c r="S10" s="44" t="s">
        <v>402</v>
      </c>
    </row>
    <row r="11" spans="1:19" ht="15" customHeight="1" x14ac:dyDescent="0.2">
      <c r="A11" s="195"/>
      <c r="B11" s="195"/>
      <c r="C11" s="195"/>
      <c r="D11" s="121"/>
      <c r="E11" s="191"/>
      <c r="F11" s="121"/>
      <c r="G11" s="121"/>
      <c r="H11" s="121"/>
      <c r="I11" s="121"/>
      <c r="J11" s="195" t="s">
        <v>479</v>
      </c>
      <c r="K11" s="195" t="s">
        <v>26</v>
      </c>
      <c r="L11" s="195" t="s">
        <v>422</v>
      </c>
      <c r="M11" s="121" t="s">
        <v>36</v>
      </c>
      <c r="N11" s="196">
        <v>0</v>
      </c>
      <c r="O11" s="200">
        <v>0</v>
      </c>
      <c r="P11" s="200">
        <v>0</v>
      </c>
      <c r="Q11" s="200">
        <v>0</v>
      </c>
      <c r="R11" s="121"/>
      <c r="S11" s="44" t="s">
        <v>8</v>
      </c>
    </row>
    <row r="12" spans="1:19" x14ac:dyDescent="0.2">
      <c r="A12" s="195"/>
      <c r="B12" s="195"/>
      <c r="C12" s="195"/>
      <c r="D12" s="121"/>
      <c r="E12" s="191"/>
      <c r="F12" s="121"/>
      <c r="G12" s="121"/>
      <c r="H12" s="121"/>
      <c r="I12" s="121"/>
      <c r="J12" s="195" t="s">
        <v>479</v>
      </c>
      <c r="K12" s="195" t="s">
        <v>26</v>
      </c>
      <c r="L12" s="195" t="s">
        <v>422</v>
      </c>
      <c r="M12" s="121" t="s">
        <v>37</v>
      </c>
      <c r="N12" s="196">
        <v>0</v>
      </c>
      <c r="O12" s="200">
        <v>0</v>
      </c>
      <c r="P12" s="200">
        <v>0</v>
      </c>
      <c r="Q12" s="200">
        <v>0</v>
      </c>
      <c r="R12" s="121"/>
      <c r="S12" s="44" t="s">
        <v>403</v>
      </c>
    </row>
    <row r="13" spans="1:19" x14ac:dyDescent="0.2">
      <c r="A13" s="195"/>
      <c r="B13" s="195"/>
      <c r="C13" s="195"/>
      <c r="D13" s="121"/>
      <c r="E13" s="191"/>
      <c r="F13" s="121"/>
      <c r="G13" s="121"/>
      <c r="H13" s="121"/>
      <c r="I13" s="189" t="s">
        <v>419</v>
      </c>
      <c r="J13" s="195" t="s">
        <v>479</v>
      </c>
      <c r="K13" s="195" t="s">
        <v>26</v>
      </c>
      <c r="L13" s="195" t="s">
        <v>422</v>
      </c>
      <c r="M13" s="121" t="s">
        <v>26</v>
      </c>
      <c r="N13" s="199">
        <v>15295.22</v>
      </c>
      <c r="O13" s="198">
        <v>3</v>
      </c>
      <c r="P13" s="198">
        <v>0</v>
      </c>
      <c r="Q13" s="198">
        <v>0</v>
      </c>
      <c r="R13" s="189" t="s">
        <v>419</v>
      </c>
      <c r="S13" s="187" t="s">
        <v>9</v>
      </c>
    </row>
    <row r="14" spans="1:19" ht="15" customHeight="1" x14ac:dyDescent="0.2">
      <c r="A14" s="195"/>
      <c r="B14" s="195"/>
      <c r="C14" s="195"/>
      <c r="D14" s="121"/>
      <c r="E14" s="191"/>
      <c r="F14" s="121"/>
      <c r="G14" s="121"/>
      <c r="H14" s="121"/>
      <c r="I14" s="121"/>
      <c r="J14" s="195" t="s">
        <v>479</v>
      </c>
      <c r="K14" s="195" t="s">
        <v>26</v>
      </c>
      <c r="L14" s="195" t="s">
        <v>422</v>
      </c>
      <c r="M14" s="121" t="s">
        <v>38</v>
      </c>
      <c r="N14" s="196">
        <v>0</v>
      </c>
      <c r="O14" s="200">
        <v>0</v>
      </c>
      <c r="P14" s="200">
        <v>0</v>
      </c>
      <c r="Q14" s="200">
        <v>0</v>
      </c>
      <c r="R14" s="121"/>
      <c r="S14" s="44" t="s">
        <v>404</v>
      </c>
    </row>
    <row r="15" spans="1:19" ht="15" customHeight="1" x14ac:dyDescent="0.2">
      <c r="A15" s="195"/>
      <c r="B15" s="195"/>
      <c r="C15" s="195"/>
      <c r="D15" s="121"/>
      <c r="E15" s="191"/>
      <c r="F15" s="121"/>
      <c r="G15" s="121"/>
      <c r="H15" s="121"/>
      <c r="I15" s="189" t="s">
        <v>51</v>
      </c>
      <c r="J15" s="195" t="s">
        <v>479</v>
      </c>
      <c r="K15" s="195" t="s">
        <v>26</v>
      </c>
      <c r="L15" s="195" t="s">
        <v>422</v>
      </c>
      <c r="M15" s="121" t="s">
        <v>39</v>
      </c>
      <c r="N15" s="199">
        <v>1224000</v>
      </c>
      <c r="O15" s="198">
        <v>102</v>
      </c>
      <c r="P15" s="198">
        <v>187</v>
      </c>
      <c r="Q15" s="198">
        <v>106</v>
      </c>
      <c r="R15" s="189" t="s">
        <v>51</v>
      </c>
      <c r="S15" s="187" t="s">
        <v>11</v>
      </c>
    </row>
    <row r="16" spans="1:19" x14ac:dyDescent="0.2">
      <c r="A16" s="195"/>
      <c r="B16" s="195"/>
      <c r="C16" s="195"/>
      <c r="D16" s="121"/>
      <c r="E16" s="191"/>
      <c r="F16" s="121"/>
      <c r="G16" s="121"/>
      <c r="H16" s="121"/>
      <c r="I16" s="189" t="s">
        <v>418</v>
      </c>
      <c r="J16" s="195" t="s">
        <v>479</v>
      </c>
      <c r="K16" s="195" t="s">
        <v>26</v>
      </c>
      <c r="L16" s="195" t="s">
        <v>422</v>
      </c>
      <c r="M16" s="121" t="s">
        <v>40</v>
      </c>
      <c r="N16" s="199">
        <v>0</v>
      </c>
      <c r="O16" s="198">
        <v>0</v>
      </c>
      <c r="P16" s="198">
        <v>0</v>
      </c>
      <c r="Q16" s="198">
        <v>0</v>
      </c>
      <c r="R16" s="189" t="s">
        <v>418</v>
      </c>
      <c r="S16" s="187" t="s">
        <v>405</v>
      </c>
    </row>
    <row r="17" spans="1:19" x14ac:dyDescent="0.2">
      <c r="A17" s="195"/>
      <c r="B17" s="195"/>
      <c r="C17" s="195"/>
      <c r="D17" s="121"/>
      <c r="E17" s="191"/>
      <c r="F17" s="121"/>
      <c r="G17" s="121"/>
      <c r="H17" s="121"/>
      <c r="I17" s="121"/>
      <c r="J17" s="195" t="s">
        <v>479</v>
      </c>
      <c r="K17" s="195" t="s">
        <v>26</v>
      </c>
      <c r="L17" s="195" t="s">
        <v>422</v>
      </c>
      <c r="M17" s="121" t="s">
        <v>41</v>
      </c>
      <c r="N17" s="196">
        <v>0</v>
      </c>
      <c r="O17" s="200">
        <v>0</v>
      </c>
      <c r="P17" s="200">
        <v>0</v>
      </c>
      <c r="Q17" s="200">
        <v>0</v>
      </c>
      <c r="R17" s="121"/>
      <c r="S17" s="44" t="s">
        <v>406</v>
      </c>
    </row>
    <row r="18" spans="1:19" ht="15" customHeight="1" x14ac:dyDescent="0.2">
      <c r="A18" s="195"/>
      <c r="B18" s="195"/>
      <c r="C18" s="195"/>
      <c r="D18" s="121"/>
      <c r="E18" s="191"/>
      <c r="F18" s="121"/>
      <c r="G18" s="121"/>
      <c r="H18" s="121"/>
      <c r="I18" s="189" t="s">
        <v>420</v>
      </c>
      <c r="J18" s="195" t="s">
        <v>479</v>
      </c>
      <c r="K18" s="195" t="s">
        <v>26</v>
      </c>
      <c r="L18" s="195" t="s">
        <v>422</v>
      </c>
      <c r="M18" s="121" t="s">
        <v>42</v>
      </c>
      <c r="N18" s="199">
        <v>0</v>
      </c>
      <c r="O18" s="198">
        <v>0</v>
      </c>
      <c r="P18" s="198">
        <v>0</v>
      </c>
      <c r="Q18" s="198">
        <v>0</v>
      </c>
      <c r="R18" s="189" t="s">
        <v>420</v>
      </c>
      <c r="S18" s="187" t="s">
        <v>376</v>
      </c>
    </row>
    <row r="19" spans="1:19" ht="15" customHeight="1" x14ac:dyDescent="0.2">
      <c r="A19" s="195"/>
      <c r="B19" s="195"/>
      <c r="C19" s="195"/>
      <c r="D19" s="121"/>
      <c r="E19" s="191"/>
      <c r="F19" s="121"/>
      <c r="G19" s="121"/>
      <c r="H19" s="121"/>
      <c r="I19" s="189" t="s">
        <v>416</v>
      </c>
      <c r="J19" s="195" t="s">
        <v>479</v>
      </c>
      <c r="K19" s="195" t="s">
        <v>26</v>
      </c>
      <c r="L19" s="195" t="s">
        <v>422</v>
      </c>
      <c r="M19" s="121" t="s">
        <v>43</v>
      </c>
      <c r="N19" s="199">
        <v>0</v>
      </c>
      <c r="O19" s="198">
        <v>0</v>
      </c>
      <c r="P19" s="198">
        <v>0</v>
      </c>
      <c r="Q19" s="198">
        <v>0</v>
      </c>
      <c r="R19" s="189" t="s">
        <v>416</v>
      </c>
      <c r="S19" s="187" t="s">
        <v>377</v>
      </c>
    </row>
    <row r="20" spans="1:19" x14ac:dyDescent="0.2">
      <c r="A20" s="195"/>
      <c r="B20" s="195"/>
      <c r="C20" s="195"/>
      <c r="D20" s="121"/>
      <c r="E20" s="191"/>
      <c r="F20" s="121"/>
      <c r="G20" s="121"/>
      <c r="H20" s="121"/>
      <c r="I20" s="121"/>
      <c r="J20" s="195" t="s">
        <v>479</v>
      </c>
      <c r="K20" s="195" t="s">
        <v>26</v>
      </c>
      <c r="L20" s="195" t="s">
        <v>422</v>
      </c>
      <c r="M20" s="121" t="s">
        <v>44</v>
      </c>
      <c r="N20" s="196">
        <v>0</v>
      </c>
      <c r="O20" s="200">
        <v>0</v>
      </c>
      <c r="P20" s="200">
        <v>0</v>
      </c>
      <c r="Q20" s="200">
        <v>0</v>
      </c>
      <c r="R20" s="121"/>
      <c r="S20" s="44" t="s">
        <v>15</v>
      </c>
    </row>
    <row r="21" spans="1:19" x14ac:dyDescent="0.2">
      <c r="A21" s="195"/>
      <c r="B21" s="195"/>
      <c r="C21" s="195"/>
      <c r="D21" s="121"/>
      <c r="E21" s="191"/>
      <c r="F21" s="121"/>
      <c r="G21" s="121"/>
      <c r="H21" s="121"/>
      <c r="I21" s="186">
        <v>6</v>
      </c>
      <c r="J21" s="195" t="s">
        <v>479</v>
      </c>
      <c r="K21" s="195" t="s">
        <v>26</v>
      </c>
      <c r="L21" s="195" t="s">
        <v>422</v>
      </c>
      <c r="M21" s="121" t="s">
        <v>45</v>
      </c>
      <c r="N21" s="197">
        <v>4308420.72</v>
      </c>
      <c r="O21" s="198">
        <v>123</v>
      </c>
      <c r="P21" s="198">
        <v>152</v>
      </c>
      <c r="Q21" s="198">
        <v>143</v>
      </c>
      <c r="R21" s="186">
        <v>6</v>
      </c>
      <c r="S21" s="187" t="s">
        <v>16</v>
      </c>
    </row>
    <row r="22" spans="1:19" x14ac:dyDescent="0.2">
      <c r="A22" s="195"/>
      <c r="B22" s="195"/>
      <c r="C22" s="195"/>
      <c r="D22" s="121"/>
      <c r="E22" s="191"/>
      <c r="F22" s="121"/>
      <c r="G22" s="121"/>
      <c r="H22" s="121"/>
      <c r="I22" s="121"/>
      <c r="J22" s="195" t="s">
        <v>479</v>
      </c>
      <c r="K22" s="195" t="s">
        <v>26</v>
      </c>
      <c r="L22" s="195" t="s">
        <v>422</v>
      </c>
      <c r="M22" s="121" t="s">
        <v>46</v>
      </c>
      <c r="N22" s="196">
        <v>0</v>
      </c>
      <c r="O22" s="200">
        <v>0</v>
      </c>
      <c r="P22" s="200">
        <v>0</v>
      </c>
      <c r="Q22" s="200">
        <v>0</v>
      </c>
      <c r="R22" s="121"/>
      <c r="S22" s="44" t="s">
        <v>407</v>
      </c>
    </row>
    <row r="23" spans="1:19" ht="15" customHeight="1" x14ac:dyDescent="0.2">
      <c r="A23" s="195"/>
      <c r="B23" s="195"/>
      <c r="C23" s="195"/>
      <c r="D23" s="121"/>
      <c r="E23" s="191"/>
      <c r="F23" s="121"/>
      <c r="G23" s="121"/>
      <c r="H23" s="121"/>
      <c r="I23" s="186">
        <v>5</v>
      </c>
      <c r="J23" s="195" t="s">
        <v>479</v>
      </c>
      <c r="K23" s="195" t="s">
        <v>26</v>
      </c>
      <c r="L23" s="195" t="s">
        <v>422</v>
      </c>
      <c r="M23" s="121" t="s">
        <v>47</v>
      </c>
      <c r="N23" s="197">
        <v>3666664.85</v>
      </c>
      <c r="O23" s="198">
        <v>88</v>
      </c>
      <c r="P23" s="198">
        <v>89</v>
      </c>
      <c r="Q23" s="198">
        <v>82</v>
      </c>
      <c r="R23" s="186">
        <v>5</v>
      </c>
      <c r="S23" s="187" t="s">
        <v>17</v>
      </c>
    </row>
    <row r="24" spans="1:19" ht="15" customHeight="1" x14ac:dyDescent="0.2">
      <c r="A24" s="195"/>
      <c r="B24" s="195"/>
      <c r="C24" s="195"/>
      <c r="D24" s="121"/>
      <c r="E24" s="191"/>
      <c r="F24" s="121"/>
      <c r="G24" s="121"/>
      <c r="H24" s="121"/>
      <c r="I24" s="45"/>
      <c r="J24" s="195" t="s">
        <v>479</v>
      </c>
      <c r="K24" s="195" t="s">
        <v>26</v>
      </c>
      <c r="L24" s="195" t="s">
        <v>422</v>
      </c>
      <c r="M24" s="121" t="s">
        <v>48</v>
      </c>
      <c r="N24" s="196">
        <v>0</v>
      </c>
      <c r="O24" s="200">
        <v>0</v>
      </c>
      <c r="P24" s="200">
        <v>0</v>
      </c>
      <c r="Q24" s="200">
        <v>0</v>
      </c>
      <c r="S24" s="44" t="s">
        <v>407</v>
      </c>
    </row>
    <row r="25" spans="1:19" ht="15" customHeight="1" x14ac:dyDescent="0.2">
      <c r="A25" s="195"/>
      <c r="B25" s="195"/>
      <c r="C25" s="195"/>
      <c r="D25" s="121"/>
      <c r="E25" s="191"/>
      <c r="F25" s="121"/>
      <c r="G25" s="121"/>
      <c r="H25" s="121"/>
      <c r="I25" s="45"/>
      <c r="J25" s="195" t="s">
        <v>479</v>
      </c>
      <c r="K25" s="195" t="s">
        <v>26</v>
      </c>
      <c r="L25" s="195" t="s">
        <v>422</v>
      </c>
      <c r="M25" s="121" t="s">
        <v>319</v>
      </c>
      <c r="N25" s="196">
        <v>0</v>
      </c>
      <c r="O25" s="200">
        <v>0</v>
      </c>
      <c r="P25" s="200">
        <v>0</v>
      </c>
      <c r="Q25" s="200">
        <v>0</v>
      </c>
      <c r="S25" s="44" t="s">
        <v>18</v>
      </c>
    </row>
    <row r="26" spans="1:19" ht="15" customHeight="1" x14ac:dyDescent="0.2">
      <c r="A26" s="195"/>
      <c r="B26" s="195"/>
      <c r="C26" s="195"/>
      <c r="D26" s="121"/>
      <c r="E26" s="191"/>
      <c r="F26" s="121"/>
      <c r="G26" s="121"/>
      <c r="H26" s="121"/>
      <c r="I26" s="190" t="s">
        <v>421</v>
      </c>
      <c r="J26" s="195" t="s">
        <v>479</v>
      </c>
      <c r="K26" s="195" t="s">
        <v>26</v>
      </c>
      <c r="L26" s="195" t="s">
        <v>422</v>
      </c>
      <c r="M26" s="121" t="s">
        <v>320</v>
      </c>
      <c r="N26" s="199">
        <v>0</v>
      </c>
      <c r="O26" s="198">
        <v>0</v>
      </c>
      <c r="P26" s="198">
        <v>0</v>
      </c>
      <c r="Q26" s="198">
        <v>0</v>
      </c>
      <c r="R26" s="190" t="s">
        <v>421</v>
      </c>
      <c r="S26" s="187" t="s">
        <v>358</v>
      </c>
    </row>
    <row r="27" spans="1:19" x14ac:dyDescent="0.2">
      <c r="A27" s="195"/>
      <c r="B27" s="195"/>
      <c r="C27" s="195"/>
      <c r="D27" s="121"/>
      <c r="E27" s="191"/>
      <c r="F27" s="121"/>
      <c r="G27" s="121"/>
      <c r="H27" s="121"/>
      <c r="I27" s="190" t="s">
        <v>415</v>
      </c>
      <c r="J27" s="195" t="s">
        <v>479</v>
      </c>
      <c r="K27" s="195" t="s">
        <v>26</v>
      </c>
      <c r="L27" s="195" t="s">
        <v>422</v>
      </c>
      <c r="M27" s="121" t="s">
        <v>321</v>
      </c>
      <c r="N27" s="199">
        <v>97229.66</v>
      </c>
      <c r="O27" s="198">
        <v>5</v>
      </c>
      <c r="P27" s="198">
        <v>0</v>
      </c>
      <c r="Q27" s="198">
        <v>0</v>
      </c>
      <c r="R27" s="190" t="s">
        <v>415</v>
      </c>
      <c r="S27" s="187" t="s">
        <v>408</v>
      </c>
    </row>
    <row r="28" spans="1:19" x14ac:dyDescent="0.2">
      <c r="A28" s="195"/>
      <c r="B28" s="195"/>
      <c r="C28" s="195"/>
      <c r="D28" s="121"/>
      <c r="E28" s="191"/>
      <c r="F28" s="121"/>
      <c r="G28" s="121"/>
      <c r="H28" s="121"/>
      <c r="J28" s="195" t="s">
        <v>479</v>
      </c>
      <c r="K28" s="195" t="s">
        <v>26</v>
      </c>
      <c r="L28" s="195" t="s">
        <v>422</v>
      </c>
      <c r="M28" s="121" t="s">
        <v>322</v>
      </c>
      <c r="N28" s="196">
        <v>0</v>
      </c>
      <c r="O28" s="200">
        <v>0</v>
      </c>
      <c r="P28" s="200">
        <v>0</v>
      </c>
      <c r="Q28" s="200">
        <v>0</v>
      </c>
      <c r="S28" s="44" t="s">
        <v>215</v>
      </c>
    </row>
    <row r="29" spans="1:19" x14ac:dyDescent="0.2">
      <c r="A29" s="195"/>
      <c r="B29" s="195"/>
      <c r="C29" s="195"/>
      <c r="D29" s="121"/>
      <c r="E29" s="191"/>
      <c r="F29" s="121"/>
      <c r="G29" s="121"/>
      <c r="H29" s="121"/>
      <c r="J29" s="195" t="s">
        <v>479</v>
      </c>
      <c r="K29" s="195" t="s">
        <v>26</v>
      </c>
      <c r="L29" s="195" t="s">
        <v>422</v>
      </c>
      <c r="M29" s="121" t="s">
        <v>391</v>
      </c>
      <c r="N29" s="196">
        <v>0</v>
      </c>
      <c r="O29" s="200">
        <v>0</v>
      </c>
      <c r="P29" s="200">
        <v>0</v>
      </c>
      <c r="Q29" s="200">
        <v>0</v>
      </c>
      <c r="S29" s="44" t="s">
        <v>409</v>
      </c>
    </row>
    <row r="30" spans="1:19" ht="15" customHeight="1" x14ac:dyDescent="0.2">
      <c r="A30" s="195"/>
      <c r="B30" s="195"/>
      <c r="C30" s="195"/>
      <c r="D30" s="121"/>
      <c r="E30" s="191"/>
      <c r="F30" s="121"/>
      <c r="G30" s="121"/>
      <c r="H30" s="121"/>
      <c r="J30" s="195" t="s">
        <v>479</v>
      </c>
      <c r="K30" s="195" t="s">
        <v>26</v>
      </c>
      <c r="L30" s="195" t="s">
        <v>422</v>
      </c>
      <c r="M30" s="121" t="s">
        <v>392</v>
      </c>
      <c r="N30" s="196">
        <v>0</v>
      </c>
      <c r="O30" s="200">
        <v>0</v>
      </c>
      <c r="P30" s="200">
        <v>0</v>
      </c>
      <c r="Q30" s="200">
        <v>0</v>
      </c>
      <c r="S30" s="44" t="s">
        <v>410</v>
      </c>
    </row>
    <row r="31" spans="1:19" x14ac:dyDescent="0.2">
      <c r="A31" s="195"/>
      <c r="B31" s="195"/>
      <c r="C31" s="195"/>
      <c r="D31" s="121"/>
      <c r="E31" s="191"/>
      <c r="F31" s="121"/>
      <c r="G31" s="121"/>
      <c r="H31" s="121"/>
      <c r="J31" s="195" t="s">
        <v>479</v>
      </c>
      <c r="K31" s="195" t="s">
        <v>26</v>
      </c>
      <c r="L31" s="195" t="s">
        <v>422</v>
      </c>
      <c r="M31" s="121" t="s">
        <v>393</v>
      </c>
      <c r="N31" s="196">
        <v>0</v>
      </c>
      <c r="O31" s="200">
        <v>0</v>
      </c>
      <c r="P31" s="200">
        <v>0</v>
      </c>
      <c r="Q31" s="200">
        <v>0</v>
      </c>
      <c r="S31" s="44" t="s">
        <v>411</v>
      </c>
    </row>
    <row r="32" spans="1:19" x14ac:dyDescent="0.2">
      <c r="A32" s="195"/>
      <c r="B32" s="195"/>
      <c r="C32" s="195"/>
      <c r="D32" s="201"/>
      <c r="E32" s="202"/>
      <c r="F32" s="201"/>
      <c r="G32" s="201"/>
      <c r="H32" s="201"/>
      <c r="J32" s="195" t="s">
        <v>479</v>
      </c>
      <c r="K32" s="195" t="s">
        <v>26</v>
      </c>
      <c r="L32" s="195" t="s">
        <v>422</v>
      </c>
      <c r="M32" s="201" t="s">
        <v>394</v>
      </c>
      <c r="N32" s="203">
        <v>36859512.880000003</v>
      </c>
      <c r="O32" s="204">
        <v>2424</v>
      </c>
      <c r="P32" s="204">
        <v>2056</v>
      </c>
      <c r="Q32" s="204">
        <v>1626</v>
      </c>
      <c r="S32" s="185" t="s">
        <v>412</v>
      </c>
    </row>
    <row r="33" spans="1:19" x14ac:dyDescent="0.2">
      <c r="A33" s="195"/>
      <c r="B33" s="195"/>
      <c r="C33" s="195"/>
      <c r="D33" s="121"/>
      <c r="E33" s="191"/>
      <c r="F33" s="121"/>
      <c r="G33" s="121"/>
      <c r="H33" s="121"/>
      <c r="J33" s="195" t="s">
        <v>479</v>
      </c>
      <c r="K33" s="195" t="s">
        <v>26</v>
      </c>
      <c r="L33" s="195" t="s">
        <v>422</v>
      </c>
      <c r="M33" s="121" t="s">
        <v>49</v>
      </c>
      <c r="N33" s="196">
        <v>720</v>
      </c>
      <c r="O33" s="200">
        <v>0</v>
      </c>
      <c r="P33" s="200">
        <v>0</v>
      </c>
      <c r="Q33" s="200">
        <v>0</v>
      </c>
      <c r="S33" s="44" t="s">
        <v>413</v>
      </c>
    </row>
    <row r="34" spans="1:19" x14ac:dyDescent="0.2">
      <c r="A34" s="195"/>
      <c r="B34" s="195"/>
      <c r="C34" s="195"/>
      <c r="D34" s="121"/>
      <c r="E34" s="191"/>
      <c r="F34" s="121"/>
      <c r="G34" s="121"/>
      <c r="H34" s="121"/>
      <c r="J34" s="195" t="s">
        <v>479</v>
      </c>
      <c r="K34" s="195" t="s">
        <v>26</v>
      </c>
      <c r="L34" s="195" t="s">
        <v>422</v>
      </c>
      <c r="M34" s="121" t="s">
        <v>50</v>
      </c>
      <c r="N34" s="196">
        <v>60</v>
      </c>
      <c r="O34" s="200">
        <v>0</v>
      </c>
      <c r="P34" s="200">
        <v>0</v>
      </c>
      <c r="Q34" s="200">
        <v>0</v>
      </c>
      <c r="S34" s="44" t="s">
        <v>414</v>
      </c>
    </row>
    <row r="35" spans="1:19" x14ac:dyDescent="0.2">
      <c r="D35" s="188" t="s">
        <v>89</v>
      </c>
      <c r="E35" s="192">
        <f>SUM(E3:E6,E21,E23)</f>
        <v>0</v>
      </c>
      <c r="F35" s="186">
        <f>SUM(F3:F6,F21,F23)</f>
        <v>0</v>
      </c>
      <c r="G35" s="186">
        <f>SUM(G3:G6,G21,G23)</f>
        <v>0</v>
      </c>
      <c r="H35" s="186">
        <f>SUM(H3:H6,H21,H23)</f>
        <v>0</v>
      </c>
      <c r="M35" s="188" t="s">
        <v>89</v>
      </c>
      <c r="N35" s="192">
        <f>SUM(N3:N6,N21,N23)</f>
        <v>16842083.100000001</v>
      </c>
      <c r="O35" s="186">
        <f>SUM(O3:O6,O21,O23)</f>
        <v>960</v>
      </c>
      <c r="P35" s="186">
        <f>SUM(P3:P6,P21,P23)</f>
        <v>747</v>
      </c>
      <c r="Q35" s="186">
        <f>SUM(Q3:Q6,Q21,Q23)</f>
        <v>700</v>
      </c>
    </row>
    <row r="36" spans="1:19" x14ac:dyDescent="0.2">
      <c r="D36" s="45" t="s">
        <v>99</v>
      </c>
      <c r="E36" s="94">
        <f>E3+E4+E5+E6+E21+E23</f>
        <v>0</v>
      </c>
      <c r="F36" s="121">
        <f>F3+F4+F5+F6+F21+F23</f>
        <v>0</v>
      </c>
      <c r="G36" s="121">
        <f>G3+G4+G5+G6+G21+G23</f>
        <v>0</v>
      </c>
      <c r="H36" s="121">
        <f>H3+H4+H5+H6+H21+H23</f>
        <v>0</v>
      </c>
      <c r="M36" s="45" t="s">
        <v>99</v>
      </c>
      <c r="N36" s="94">
        <f>N3+N4+N5+N6+N21+N23</f>
        <v>16842083.100000001</v>
      </c>
      <c r="O36" s="121">
        <f>O3+O4+O5+O6+O21+O23</f>
        <v>960</v>
      </c>
      <c r="P36" s="121">
        <f>P3+P4+P5+P6+P21+P23</f>
        <v>747</v>
      </c>
      <c r="Q36" s="121">
        <f>Q3+Q4+Q5+Q6+Q21+Q23</f>
        <v>700</v>
      </c>
    </row>
    <row r="37" spans="1:19" x14ac:dyDescent="0.2">
      <c r="D37" s="188" t="s">
        <v>272</v>
      </c>
      <c r="E37" s="192">
        <f>SUM(E3:E6,E15,E21,E23)</f>
        <v>0</v>
      </c>
      <c r="F37" s="186">
        <f>SUM(F3:F6,F15,F21,F23)</f>
        <v>0</v>
      </c>
      <c r="G37" s="186">
        <f>SUM(G3:G6,G15,G21,G23)</f>
        <v>0</v>
      </c>
      <c r="H37" s="186">
        <f>SUM(H3:H6,H15,H21,H23)</f>
        <v>0</v>
      </c>
      <c r="M37" s="188" t="s">
        <v>272</v>
      </c>
      <c r="N37" s="192">
        <f>SUM(N3:N6,N15,N21,N23)</f>
        <v>18066083.100000001</v>
      </c>
      <c r="O37" s="186">
        <f>SUM(O3:O6,O15,O21,O23)</f>
        <v>1062</v>
      </c>
      <c r="P37" s="186">
        <f>SUM(P3:P6,P15,P21,P23)</f>
        <v>934</v>
      </c>
      <c r="Q37" s="186">
        <f>SUM(Q3:Q6,Q15,Q21,Q23)</f>
        <v>806</v>
      </c>
    </row>
    <row r="38" spans="1:19" x14ac:dyDescent="0.2">
      <c r="D38" s="45" t="s">
        <v>99</v>
      </c>
      <c r="E38" s="94">
        <f>E3+E4+E5+E6+E15+E21+E23</f>
        <v>0</v>
      </c>
      <c r="F38" s="121">
        <f>F3+F4+F5+F6+F15+F21+F23</f>
        <v>0</v>
      </c>
      <c r="G38" s="121">
        <f>G3+G4+G5+G6+G15+G21+G23</f>
        <v>0</v>
      </c>
      <c r="H38" s="121">
        <f>H3+H4+H5+H6+H15+H21+H23</f>
        <v>0</v>
      </c>
      <c r="M38" s="45" t="s">
        <v>99</v>
      </c>
      <c r="N38" s="94">
        <f>N3+N4+N5+N6+N15+N21+N23</f>
        <v>18066083.100000001</v>
      </c>
      <c r="O38" s="121">
        <f>O3+O4+O5+O6+O15+O21+O23</f>
        <v>1062</v>
      </c>
      <c r="P38" s="121">
        <f>P3+P4+P5+P6+P15+P21+P23</f>
        <v>934</v>
      </c>
      <c r="Q38" s="121">
        <f>Q3+Q4+Q5+Q6+Q15+Q21+Q23</f>
        <v>806</v>
      </c>
    </row>
    <row r="39" spans="1:19" x14ac:dyDescent="0.2">
      <c r="D39" s="44"/>
      <c r="F39" s="45"/>
      <c r="G39" s="192" t="e">
        <f>SUM(H32)/G32*100</f>
        <v>#DIV/0!</v>
      </c>
      <c r="H39" s="193" t="e">
        <f>SUM(E32)/H32</f>
        <v>#DIV/0!</v>
      </c>
      <c r="P39" s="192">
        <f>SUM(Q32)/P32*100</f>
        <v>79.08560311284046</v>
      </c>
      <c r="Q39" s="193">
        <f>SUM(N32)/Q32</f>
        <v>22668.827109471098</v>
      </c>
    </row>
    <row r="40" spans="1:19" x14ac:dyDescent="0.2">
      <c r="D40" s="44"/>
      <c r="E40" s="196">
        <f>SUM(E3:E21,E23,E25:E31)</f>
        <v>0</v>
      </c>
      <c r="F40" s="200">
        <f>SUM(F3:F21,F23,F25:F31)</f>
        <v>0</v>
      </c>
      <c r="G40" s="200">
        <f>SUM(G3:G21,G23,G25:G31)</f>
        <v>0</v>
      </c>
      <c r="H40" s="200">
        <f>SUM(H3:H21,H23,H25:H31)</f>
        <v>0</v>
      </c>
      <c r="N40" s="196">
        <f>SUM(N3:N21,N23,N25:N31)</f>
        <v>18429756.440000001</v>
      </c>
      <c r="O40" s="200">
        <f>SUM(O3:O21,O23,O25:O31)</f>
        <v>1212</v>
      </c>
      <c r="P40" s="200">
        <f>SUM(P3:P21,P23,P25:P31)</f>
        <v>1028</v>
      </c>
      <c r="Q40" s="200">
        <f>SUM(Q3:Q21,Q23,Q25:Q31)</f>
        <v>813</v>
      </c>
    </row>
    <row r="41" spans="1:19" x14ac:dyDescent="0.2">
      <c r="D41" s="44"/>
      <c r="E41" s="191">
        <f>SUM(E2:E31)</f>
        <v>0</v>
      </c>
      <c r="F41" s="121">
        <f>SUM(F2:F31)</f>
        <v>0</v>
      </c>
      <c r="G41" s="121">
        <f>SUM(G2:G31)</f>
        <v>0</v>
      </c>
      <c r="H41" s="121">
        <f>SUM(H2:H31)</f>
        <v>0</v>
      </c>
      <c r="N41" s="191">
        <f>SUM(N2:N31)</f>
        <v>36859512.879999995</v>
      </c>
      <c r="O41" s="121">
        <f>SUM(O2:O31)</f>
        <v>2424</v>
      </c>
      <c r="P41" s="121">
        <f>SUM(P2:P31)</f>
        <v>2056</v>
      </c>
      <c r="Q41" s="121">
        <f>SUM(Q2:Q31)</f>
        <v>1626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Arkusz41">
    <tabColor theme="0"/>
  </sheetPr>
  <dimension ref="A1:S41"/>
  <sheetViews>
    <sheetView zoomScale="80" zoomScaleNormal="80" workbookViewId="0">
      <selection activeCell="J1" sqref="J1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.85546875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195" t="s">
        <v>22</v>
      </c>
      <c r="B1" s="195" t="s">
        <v>23</v>
      </c>
      <c r="C1" s="195" t="s">
        <v>24</v>
      </c>
      <c r="D1" s="121" t="s">
        <v>25</v>
      </c>
      <c r="E1" s="193" t="s">
        <v>387</v>
      </c>
      <c r="F1" s="191" t="s">
        <v>388</v>
      </c>
      <c r="G1" s="191" t="s">
        <v>389</v>
      </c>
      <c r="H1" s="191" t="s">
        <v>390</v>
      </c>
      <c r="J1" s="195" t="s">
        <v>22</v>
      </c>
      <c r="K1" s="195" t="s">
        <v>23</v>
      </c>
      <c r="L1" s="195" t="s">
        <v>24</v>
      </c>
      <c r="M1" s="121" t="s">
        <v>25</v>
      </c>
      <c r="N1" s="193" t="s">
        <v>387</v>
      </c>
      <c r="O1" s="191" t="s">
        <v>388</v>
      </c>
      <c r="P1" s="191" t="s">
        <v>389</v>
      </c>
      <c r="Q1" s="191" t="s">
        <v>390</v>
      </c>
    </row>
    <row r="2" spans="1:19" ht="15" customHeight="1" x14ac:dyDescent="0.2">
      <c r="A2" s="195"/>
      <c r="B2" s="195"/>
      <c r="C2" s="195"/>
      <c r="D2" s="121"/>
      <c r="E2" s="191"/>
      <c r="F2" s="121"/>
      <c r="G2" s="121"/>
      <c r="H2" s="121"/>
      <c r="J2" s="195" t="s">
        <v>479</v>
      </c>
      <c r="K2" s="195" t="s">
        <v>26</v>
      </c>
      <c r="L2" s="195" t="s">
        <v>323</v>
      </c>
      <c r="M2" s="121" t="s">
        <v>27</v>
      </c>
      <c r="N2" s="196">
        <v>32062295.84</v>
      </c>
      <c r="O2" s="200">
        <v>2027</v>
      </c>
      <c r="P2" s="200">
        <v>1893</v>
      </c>
      <c r="Q2" s="200">
        <v>1441</v>
      </c>
      <c r="S2" s="44" t="s">
        <v>395</v>
      </c>
    </row>
    <row r="3" spans="1:19" x14ac:dyDescent="0.2">
      <c r="A3" s="195"/>
      <c r="B3" s="195"/>
      <c r="C3" s="195"/>
      <c r="D3" s="121"/>
      <c r="E3" s="191"/>
      <c r="F3" s="121"/>
      <c r="G3" s="121"/>
      <c r="H3" s="121"/>
      <c r="I3" s="186">
        <v>1</v>
      </c>
      <c r="J3" s="195" t="s">
        <v>479</v>
      </c>
      <c r="K3" s="195" t="s">
        <v>26</v>
      </c>
      <c r="L3" s="195" t="s">
        <v>323</v>
      </c>
      <c r="M3" s="121" t="s">
        <v>28</v>
      </c>
      <c r="N3" s="197">
        <v>4536078.1399999997</v>
      </c>
      <c r="O3" s="198">
        <v>465</v>
      </c>
      <c r="P3" s="198">
        <v>371</v>
      </c>
      <c r="Q3" s="198">
        <v>295</v>
      </c>
      <c r="R3" s="186">
        <v>1</v>
      </c>
      <c r="S3" s="187" t="s">
        <v>396</v>
      </c>
    </row>
    <row r="4" spans="1:19" x14ac:dyDescent="0.2">
      <c r="A4" s="195"/>
      <c r="B4" s="195"/>
      <c r="C4" s="195"/>
      <c r="D4" s="121"/>
      <c r="E4" s="191"/>
      <c r="F4" s="121"/>
      <c r="G4" s="121"/>
      <c r="H4" s="121"/>
      <c r="I4" s="186">
        <v>2</v>
      </c>
      <c r="J4" s="195" t="s">
        <v>479</v>
      </c>
      <c r="K4" s="195" t="s">
        <v>26</v>
      </c>
      <c r="L4" s="195" t="s">
        <v>323</v>
      </c>
      <c r="M4" s="121" t="s">
        <v>29</v>
      </c>
      <c r="N4" s="197">
        <v>1321810.29</v>
      </c>
      <c r="O4" s="198">
        <v>551</v>
      </c>
      <c r="P4" s="198">
        <v>552</v>
      </c>
      <c r="Q4" s="198">
        <v>260</v>
      </c>
      <c r="R4" s="186">
        <v>2</v>
      </c>
      <c r="S4" s="187" t="s">
        <v>397</v>
      </c>
    </row>
    <row r="5" spans="1:19" x14ac:dyDescent="0.2">
      <c r="A5" s="195"/>
      <c r="B5" s="195"/>
      <c r="C5" s="195"/>
      <c r="D5" s="121"/>
      <c r="E5" s="191"/>
      <c r="F5" s="121"/>
      <c r="G5" s="121"/>
      <c r="H5" s="121"/>
      <c r="I5" s="186">
        <v>3</v>
      </c>
      <c r="J5" s="195" t="s">
        <v>479</v>
      </c>
      <c r="K5" s="195" t="s">
        <v>26</v>
      </c>
      <c r="L5" s="195" t="s">
        <v>323</v>
      </c>
      <c r="M5" s="121" t="s">
        <v>30</v>
      </c>
      <c r="N5" s="197">
        <v>1476406.36</v>
      </c>
      <c r="O5" s="198">
        <v>161</v>
      </c>
      <c r="P5" s="198">
        <v>146</v>
      </c>
      <c r="Q5" s="198">
        <v>133</v>
      </c>
      <c r="R5" s="186">
        <v>3</v>
      </c>
      <c r="S5" s="187" t="s">
        <v>399</v>
      </c>
    </row>
    <row r="6" spans="1:19" x14ac:dyDescent="0.2">
      <c r="A6" s="195"/>
      <c r="B6" s="195"/>
      <c r="C6" s="195"/>
      <c r="D6" s="121"/>
      <c r="E6" s="191"/>
      <c r="F6" s="121"/>
      <c r="G6" s="121"/>
      <c r="H6" s="121"/>
      <c r="I6" s="186">
        <v>4</v>
      </c>
      <c r="J6" s="195" t="s">
        <v>479</v>
      </c>
      <c r="K6" s="195" t="s">
        <v>26</v>
      </c>
      <c r="L6" s="195" t="s">
        <v>323</v>
      </c>
      <c r="M6" s="121" t="s">
        <v>31</v>
      </c>
      <c r="N6" s="197">
        <v>1981656.02</v>
      </c>
      <c r="O6" s="198">
        <v>133</v>
      </c>
      <c r="P6" s="198">
        <v>104</v>
      </c>
      <c r="Q6" s="198">
        <v>103</v>
      </c>
      <c r="R6" s="186">
        <v>4</v>
      </c>
      <c r="S6" s="187" t="s">
        <v>398</v>
      </c>
    </row>
    <row r="7" spans="1:19" x14ac:dyDescent="0.2">
      <c r="A7" s="195"/>
      <c r="B7" s="195"/>
      <c r="C7" s="195"/>
      <c r="D7" s="121"/>
      <c r="E7" s="191"/>
      <c r="F7" s="121"/>
      <c r="G7" s="121"/>
      <c r="H7" s="121"/>
      <c r="I7" s="189" t="s">
        <v>417</v>
      </c>
      <c r="J7" s="195" t="s">
        <v>479</v>
      </c>
      <c r="K7" s="195" t="s">
        <v>26</v>
      </c>
      <c r="L7" s="195" t="s">
        <v>323</v>
      </c>
      <c r="M7" s="121" t="s">
        <v>32</v>
      </c>
      <c r="N7" s="199">
        <v>39967.199999999997</v>
      </c>
      <c r="O7" s="198">
        <v>23</v>
      </c>
      <c r="P7" s="198">
        <v>22</v>
      </c>
      <c r="Q7" s="198">
        <v>1</v>
      </c>
      <c r="R7" s="189" t="s">
        <v>417</v>
      </c>
      <c r="S7" s="187" t="s">
        <v>400</v>
      </c>
    </row>
    <row r="8" spans="1:19" x14ac:dyDescent="0.2">
      <c r="A8" s="195"/>
      <c r="B8" s="195"/>
      <c r="C8" s="195"/>
      <c r="D8" s="121"/>
      <c r="E8" s="191"/>
      <c r="F8" s="121"/>
      <c r="G8" s="121"/>
      <c r="H8" s="121"/>
      <c r="I8" s="121"/>
      <c r="J8" s="195" t="s">
        <v>479</v>
      </c>
      <c r="K8" s="195" t="s">
        <v>26</v>
      </c>
      <c r="L8" s="195" t="s">
        <v>323</v>
      </c>
      <c r="M8" s="121" t="s">
        <v>33</v>
      </c>
      <c r="N8" s="196">
        <v>0</v>
      </c>
      <c r="O8" s="200">
        <v>0</v>
      </c>
      <c r="P8" s="200">
        <v>0</v>
      </c>
      <c r="Q8" s="200">
        <v>0</v>
      </c>
      <c r="R8" s="121"/>
      <c r="S8" s="44" t="s">
        <v>401</v>
      </c>
    </row>
    <row r="9" spans="1:19" x14ac:dyDescent="0.2">
      <c r="A9" s="195"/>
      <c r="B9" s="195"/>
      <c r="C9" s="195"/>
      <c r="D9" s="121"/>
      <c r="E9" s="191"/>
      <c r="F9" s="121"/>
      <c r="G9" s="121"/>
      <c r="H9" s="121"/>
      <c r="I9" s="121"/>
      <c r="J9" s="195" t="s">
        <v>479</v>
      </c>
      <c r="K9" s="195" t="s">
        <v>26</v>
      </c>
      <c r="L9" s="195" t="s">
        <v>323</v>
      </c>
      <c r="M9" s="121" t="s">
        <v>34</v>
      </c>
      <c r="N9" s="196">
        <v>0</v>
      </c>
      <c r="O9" s="200">
        <v>0</v>
      </c>
      <c r="P9" s="200">
        <v>0</v>
      </c>
      <c r="Q9" s="200">
        <v>0</v>
      </c>
      <c r="R9" s="121"/>
      <c r="S9" s="44" t="s">
        <v>6</v>
      </c>
    </row>
    <row r="10" spans="1:19" ht="15" customHeight="1" x14ac:dyDescent="0.2">
      <c r="A10" s="195"/>
      <c r="B10" s="195"/>
      <c r="C10" s="195"/>
      <c r="D10" s="121"/>
      <c r="E10" s="191"/>
      <c r="F10" s="121"/>
      <c r="G10" s="121"/>
      <c r="H10" s="121"/>
      <c r="I10" s="121"/>
      <c r="J10" s="195" t="s">
        <v>479</v>
      </c>
      <c r="K10" s="195" t="s">
        <v>26</v>
      </c>
      <c r="L10" s="195" t="s">
        <v>323</v>
      </c>
      <c r="M10" s="121" t="s">
        <v>35</v>
      </c>
      <c r="N10" s="196">
        <v>0</v>
      </c>
      <c r="O10" s="200">
        <v>0</v>
      </c>
      <c r="P10" s="200">
        <v>0</v>
      </c>
      <c r="Q10" s="200">
        <v>0</v>
      </c>
      <c r="R10" s="121"/>
      <c r="S10" s="44" t="s">
        <v>402</v>
      </c>
    </row>
    <row r="11" spans="1:19" ht="15" customHeight="1" x14ac:dyDescent="0.2">
      <c r="A11" s="195"/>
      <c r="B11" s="195"/>
      <c r="C11" s="195"/>
      <c r="D11" s="121"/>
      <c r="E11" s="191"/>
      <c r="F11" s="121"/>
      <c r="G11" s="121"/>
      <c r="H11" s="121"/>
      <c r="I11" s="121"/>
      <c r="J11" s="195" t="s">
        <v>479</v>
      </c>
      <c r="K11" s="195" t="s">
        <v>26</v>
      </c>
      <c r="L11" s="195" t="s">
        <v>323</v>
      </c>
      <c r="M11" s="121" t="s">
        <v>36</v>
      </c>
      <c r="N11" s="196">
        <v>0</v>
      </c>
      <c r="O11" s="200">
        <v>0</v>
      </c>
      <c r="P11" s="200">
        <v>0</v>
      </c>
      <c r="Q11" s="200">
        <v>0</v>
      </c>
      <c r="R11" s="121"/>
      <c r="S11" s="44" t="s">
        <v>8</v>
      </c>
    </row>
    <row r="12" spans="1:19" x14ac:dyDescent="0.2">
      <c r="A12" s="195"/>
      <c r="B12" s="195"/>
      <c r="C12" s="195"/>
      <c r="D12" s="121"/>
      <c r="E12" s="191"/>
      <c r="F12" s="121"/>
      <c r="G12" s="121"/>
      <c r="H12" s="121"/>
      <c r="I12" s="121"/>
      <c r="J12" s="195" t="s">
        <v>479</v>
      </c>
      <c r="K12" s="195" t="s">
        <v>26</v>
      </c>
      <c r="L12" s="195" t="s">
        <v>323</v>
      </c>
      <c r="M12" s="121" t="s">
        <v>37</v>
      </c>
      <c r="N12" s="196">
        <v>0</v>
      </c>
      <c r="O12" s="200">
        <v>0</v>
      </c>
      <c r="P12" s="200">
        <v>0</v>
      </c>
      <c r="Q12" s="200">
        <v>0</v>
      </c>
      <c r="R12" s="121"/>
      <c r="S12" s="44" t="s">
        <v>403</v>
      </c>
    </row>
    <row r="13" spans="1:19" x14ac:dyDescent="0.2">
      <c r="A13" s="195"/>
      <c r="B13" s="195"/>
      <c r="C13" s="195"/>
      <c r="D13" s="121"/>
      <c r="E13" s="191"/>
      <c r="F13" s="121"/>
      <c r="G13" s="121"/>
      <c r="H13" s="121"/>
      <c r="I13" s="189" t="s">
        <v>419</v>
      </c>
      <c r="J13" s="195" t="s">
        <v>479</v>
      </c>
      <c r="K13" s="195" t="s">
        <v>26</v>
      </c>
      <c r="L13" s="195" t="s">
        <v>323</v>
      </c>
      <c r="M13" s="121" t="s">
        <v>26</v>
      </c>
      <c r="N13" s="199">
        <v>139165.73000000001</v>
      </c>
      <c r="O13" s="198">
        <v>25</v>
      </c>
      <c r="P13" s="198">
        <v>14</v>
      </c>
      <c r="Q13" s="198">
        <v>10</v>
      </c>
      <c r="R13" s="189" t="s">
        <v>419</v>
      </c>
      <c r="S13" s="187" t="s">
        <v>9</v>
      </c>
    </row>
    <row r="14" spans="1:19" ht="15" customHeight="1" x14ac:dyDescent="0.2">
      <c r="A14" s="195"/>
      <c r="B14" s="195"/>
      <c r="C14" s="195"/>
      <c r="D14" s="121"/>
      <c r="E14" s="191"/>
      <c r="F14" s="121"/>
      <c r="G14" s="121"/>
      <c r="H14" s="121"/>
      <c r="I14" s="121"/>
      <c r="J14" s="195" t="s">
        <v>479</v>
      </c>
      <c r="K14" s="195" t="s">
        <v>26</v>
      </c>
      <c r="L14" s="195" t="s">
        <v>323</v>
      </c>
      <c r="M14" s="121" t="s">
        <v>38</v>
      </c>
      <c r="N14" s="196">
        <v>0</v>
      </c>
      <c r="O14" s="200">
        <v>0</v>
      </c>
      <c r="P14" s="200">
        <v>1</v>
      </c>
      <c r="Q14" s="200">
        <v>1</v>
      </c>
      <c r="R14" s="121"/>
      <c r="S14" s="44" t="s">
        <v>404</v>
      </c>
    </row>
    <row r="15" spans="1:19" ht="15" customHeight="1" x14ac:dyDescent="0.2">
      <c r="A15" s="195"/>
      <c r="B15" s="195"/>
      <c r="C15" s="195"/>
      <c r="D15" s="121"/>
      <c r="E15" s="191"/>
      <c r="F15" s="121"/>
      <c r="G15" s="121"/>
      <c r="H15" s="121"/>
      <c r="I15" s="189" t="s">
        <v>51</v>
      </c>
      <c r="J15" s="195" t="s">
        <v>479</v>
      </c>
      <c r="K15" s="195" t="s">
        <v>26</v>
      </c>
      <c r="L15" s="195" t="s">
        <v>323</v>
      </c>
      <c r="M15" s="121" t="s">
        <v>39</v>
      </c>
      <c r="N15" s="199">
        <v>716133.33</v>
      </c>
      <c r="O15" s="198">
        <v>61</v>
      </c>
      <c r="P15" s="198">
        <v>74</v>
      </c>
      <c r="Q15" s="198">
        <v>71</v>
      </c>
      <c r="R15" s="189" t="s">
        <v>51</v>
      </c>
      <c r="S15" s="187" t="s">
        <v>11</v>
      </c>
    </row>
    <row r="16" spans="1:19" x14ac:dyDescent="0.2">
      <c r="A16" s="195"/>
      <c r="B16" s="195"/>
      <c r="C16" s="195"/>
      <c r="D16" s="121"/>
      <c r="E16" s="191"/>
      <c r="F16" s="121"/>
      <c r="G16" s="121"/>
      <c r="H16" s="121"/>
      <c r="I16" s="189" t="s">
        <v>418</v>
      </c>
      <c r="J16" s="195" t="s">
        <v>479</v>
      </c>
      <c r="K16" s="195" t="s">
        <v>26</v>
      </c>
      <c r="L16" s="195" t="s">
        <v>323</v>
      </c>
      <c r="M16" s="121" t="s">
        <v>40</v>
      </c>
      <c r="N16" s="199">
        <v>645819.97</v>
      </c>
      <c r="O16" s="198">
        <v>53</v>
      </c>
      <c r="P16" s="198">
        <v>20</v>
      </c>
      <c r="Q16" s="198">
        <v>15</v>
      </c>
      <c r="R16" s="189" t="s">
        <v>418</v>
      </c>
      <c r="S16" s="187" t="s">
        <v>405</v>
      </c>
    </row>
    <row r="17" spans="1:19" x14ac:dyDescent="0.2">
      <c r="A17" s="195"/>
      <c r="B17" s="195"/>
      <c r="C17" s="195"/>
      <c r="D17" s="121"/>
      <c r="E17" s="191"/>
      <c r="F17" s="121"/>
      <c r="G17" s="121"/>
      <c r="H17" s="121"/>
      <c r="I17" s="121"/>
      <c r="J17" s="195" t="s">
        <v>479</v>
      </c>
      <c r="K17" s="195" t="s">
        <v>26</v>
      </c>
      <c r="L17" s="195" t="s">
        <v>323</v>
      </c>
      <c r="M17" s="121" t="s">
        <v>41</v>
      </c>
      <c r="N17" s="196">
        <v>0</v>
      </c>
      <c r="O17" s="200">
        <v>0</v>
      </c>
      <c r="P17" s="200">
        <v>0</v>
      </c>
      <c r="Q17" s="200">
        <v>0</v>
      </c>
      <c r="R17" s="121"/>
      <c r="S17" s="44" t="s">
        <v>406</v>
      </c>
    </row>
    <row r="18" spans="1:19" ht="15" customHeight="1" x14ac:dyDescent="0.2">
      <c r="A18" s="195"/>
      <c r="B18" s="195"/>
      <c r="C18" s="195"/>
      <c r="D18" s="121"/>
      <c r="E18" s="191"/>
      <c r="F18" s="121"/>
      <c r="G18" s="121"/>
      <c r="H18" s="121"/>
      <c r="I18" s="189" t="s">
        <v>420</v>
      </c>
      <c r="J18" s="195" t="s">
        <v>479</v>
      </c>
      <c r="K18" s="195" t="s">
        <v>26</v>
      </c>
      <c r="L18" s="195" t="s">
        <v>323</v>
      </c>
      <c r="M18" s="121" t="s">
        <v>42</v>
      </c>
      <c r="N18" s="199">
        <v>26932.880000000001</v>
      </c>
      <c r="O18" s="198">
        <v>3</v>
      </c>
      <c r="P18" s="198">
        <v>5</v>
      </c>
      <c r="Q18" s="198">
        <v>1</v>
      </c>
      <c r="R18" s="189" t="s">
        <v>420</v>
      </c>
      <c r="S18" s="187" t="s">
        <v>376</v>
      </c>
    </row>
    <row r="19" spans="1:19" ht="15" customHeight="1" x14ac:dyDescent="0.2">
      <c r="A19" s="195"/>
      <c r="B19" s="195"/>
      <c r="C19" s="195"/>
      <c r="D19" s="121"/>
      <c r="E19" s="191"/>
      <c r="F19" s="121"/>
      <c r="G19" s="121"/>
      <c r="H19" s="121"/>
      <c r="I19" s="189" t="s">
        <v>416</v>
      </c>
      <c r="J19" s="195" t="s">
        <v>479</v>
      </c>
      <c r="K19" s="195" t="s">
        <v>26</v>
      </c>
      <c r="L19" s="195" t="s">
        <v>323</v>
      </c>
      <c r="M19" s="121" t="s">
        <v>43</v>
      </c>
      <c r="N19" s="199">
        <v>0</v>
      </c>
      <c r="O19" s="198">
        <v>0</v>
      </c>
      <c r="P19" s="198">
        <v>0</v>
      </c>
      <c r="Q19" s="198">
        <v>0</v>
      </c>
      <c r="R19" s="189" t="s">
        <v>416</v>
      </c>
      <c r="S19" s="187" t="s">
        <v>377</v>
      </c>
    </row>
    <row r="20" spans="1:19" x14ac:dyDescent="0.2">
      <c r="A20" s="195"/>
      <c r="B20" s="195"/>
      <c r="C20" s="195"/>
      <c r="D20" s="121"/>
      <c r="E20" s="191"/>
      <c r="F20" s="121"/>
      <c r="G20" s="121"/>
      <c r="H20" s="121"/>
      <c r="I20" s="121"/>
      <c r="J20" s="195" t="s">
        <v>479</v>
      </c>
      <c r="K20" s="195" t="s">
        <v>26</v>
      </c>
      <c r="L20" s="195" t="s">
        <v>323</v>
      </c>
      <c r="M20" s="121" t="s">
        <v>44</v>
      </c>
      <c r="N20" s="196">
        <v>0</v>
      </c>
      <c r="O20" s="200">
        <v>0</v>
      </c>
      <c r="P20" s="200">
        <v>0</v>
      </c>
      <c r="Q20" s="200">
        <v>0</v>
      </c>
      <c r="R20" s="121"/>
      <c r="S20" s="44" t="s">
        <v>15</v>
      </c>
    </row>
    <row r="21" spans="1:19" x14ac:dyDescent="0.2">
      <c r="A21" s="195"/>
      <c r="B21" s="195"/>
      <c r="C21" s="195"/>
      <c r="D21" s="121"/>
      <c r="E21" s="191"/>
      <c r="F21" s="121"/>
      <c r="G21" s="121"/>
      <c r="H21" s="121"/>
      <c r="I21" s="186">
        <v>6</v>
      </c>
      <c r="J21" s="195" t="s">
        <v>479</v>
      </c>
      <c r="K21" s="195" t="s">
        <v>26</v>
      </c>
      <c r="L21" s="195" t="s">
        <v>323</v>
      </c>
      <c r="M21" s="121" t="s">
        <v>45</v>
      </c>
      <c r="N21" s="197">
        <v>12175975.59</v>
      </c>
      <c r="O21" s="198">
        <v>317</v>
      </c>
      <c r="P21" s="198">
        <v>333</v>
      </c>
      <c r="Q21" s="198">
        <v>328</v>
      </c>
      <c r="R21" s="186">
        <v>6</v>
      </c>
      <c r="S21" s="187" t="s">
        <v>16</v>
      </c>
    </row>
    <row r="22" spans="1:19" x14ac:dyDescent="0.2">
      <c r="A22" s="195"/>
      <c r="B22" s="195"/>
      <c r="C22" s="195"/>
      <c r="D22" s="121"/>
      <c r="E22" s="191"/>
      <c r="F22" s="121"/>
      <c r="G22" s="121"/>
      <c r="H22" s="121"/>
      <c r="I22" s="121"/>
      <c r="J22" s="195" t="s">
        <v>479</v>
      </c>
      <c r="K22" s="195" t="s">
        <v>26</v>
      </c>
      <c r="L22" s="195" t="s">
        <v>323</v>
      </c>
      <c r="M22" s="121" t="s">
        <v>46</v>
      </c>
      <c r="N22" s="196">
        <v>0</v>
      </c>
      <c r="O22" s="200">
        <v>0</v>
      </c>
      <c r="P22" s="200">
        <v>0</v>
      </c>
      <c r="Q22" s="200">
        <v>0</v>
      </c>
      <c r="R22" s="121"/>
      <c r="S22" s="44" t="s">
        <v>407</v>
      </c>
    </row>
    <row r="23" spans="1:19" ht="15" customHeight="1" x14ac:dyDescent="0.2">
      <c r="A23" s="195"/>
      <c r="B23" s="195"/>
      <c r="C23" s="195"/>
      <c r="D23" s="121"/>
      <c r="E23" s="191"/>
      <c r="F23" s="121"/>
      <c r="G23" s="121"/>
      <c r="H23" s="121"/>
      <c r="I23" s="186">
        <v>5</v>
      </c>
      <c r="J23" s="195" t="s">
        <v>479</v>
      </c>
      <c r="K23" s="195" t="s">
        <v>26</v>
      </c>
      <c r="L23" s="195" t="s">
        <v>323</v>
      </c>
      <c r="M23" s="121" t="s">
        <v>47</v>
      </c>
      <c r="N23" s="197">
        <v>8169919.75</v>
      </c>
      <c r="O23" s="198">
        <v>200</v>
      </c>
      <c r="P23" s="198">
        <v>237</v>
      </c>
      <c r="Q23" s="198">
        <v>211</v>
      </c>
      <c r="R23" s="186">
        <v>5</v>
      </c>
      <c r="S23" s="187" t="s">
        <v>17</v>
      </c>
    </row>
    <row r="24" spans="1:19" ht="15" customHeight="1" x14ac:dyDescent="0.2">
      <c r="A24" s="195"/>
      <c r="B24" s="195"/>
      <c r="C24" s="195"/>
      <c r="D24" s="121"/>
      <c r="E24" s="191"/>
      <c r="F24" s="121"/>
      <c r="G24" s="121"/>
      <c r="H24" s="121"/>
      <c r="I24" s="45"/>
      <c r="J24" s="195" t="s">
        <v>479</v>
      </c>
      <c r="K24" s="195" t="s">
        <v>26</v>
      </c>
      <c r="L24" s="195" t="s">
        <v>323</v>
      </c>
      <c r="M24" s="121" t="s">
        <v>48</v>
      </c>
      <c r="N24" s="196">
        <v>0</v>
      </c>
      <c r="O24" s="200">
        <v>0</v>
      </c>
      <c r="P24" s="200">
        <v>0</v>
      </c>
      <c r="Q24" s="200">
        <v>0</v>
      </c>
      <c r="S24" s="44" t="s">
        <v>407</v>
      </c>
    </row>
    <row r="25" spans="1:19" ht="15" customHeight="1" x14ac:dyDescent="0.2">
      <c r="A25" s="195"/>
      <c r="B25" s="195"/>
      <c r="C25" s="195"/>
      <c r="D25" s="121"/>
      <c r="E25" s="191"/>
      <c r="F25" s="121"/>
      <c r="G25" s="121"/>
      <c r="H25" s="121"/>
      <c r="I25" s="45"/>
      <c r="J25" s="195" t="s">
        <v>479</v>
      </c>
      <c r="K25" s="195" t="s">
        <v>26</v>
      </c>
      <c r="L25" s="195" t="s">
        <v>323</v>
      </c>
      <c r="M25" s="121" t="s">
        <v>319</v>
      </c>
      <c r="N25" s="196">
        <v>0</v>
      </c>
      <c r="O25" s="200">
        <v>0</v>
      </c>
      <c r="P25" s="200">
        <v>0</v>
      </c>
      <c r="Q25" s="200">
        <v>0</v>
      </c>
      <c r="S25" s="44" t="s">
        <v>18</v>
      </c>
    </row>
    <row r="26" spans="1:19" ht="15" customHeight="1" x14ac:dyDescent="0.2">
      <c r="A26" s="195"/>
      <c r="B26" s="195"/>
      <c r="C26" s="195"/>
      <c r="D26" s="121"/>
      <c r="E26" s="191"/>
      <c r="F26" s="121"/>
      <c r="G26" s="121"/>
      <c r="H26" s="121"/>
      <c r="I26" s="190" t="s">
        <v>421</v>
      </c>
      <c r="J26" s="195" t="s">
        <v>479</v>
      </c>
      <c r="K26" s="195" t="s">
        <v>26</v>
      </c>
      <c r="L26" s="195" t="s">
        <v>323</v>
      </c>
      <c r="M26" s="121" t="s">
        <v>320</v>
      </c>
      <c r="N26" s="199">
        <v>4685</v>
      </c>
      <c r="O26" s="198">
        <v>1</v>
      </c>
      <c r="P26" s="198">
        <v>0</v>
      </c>
      <c r="Q26" s="198">
        <v>0</v>
      </c>
      <c r="R26" s="190" t="s">
        <v>421</v>
      </c>
      <c r="S26" s="187" t="s">
        <v>358</v>
      </c>
    </row>
    <row r="27" spans="1:19" x14ac:dyDescent="0.2">
      <c r="A27" s="195"/>
      <c r="B27" s="195"/>
      <c r="C27" s="195"/>
      <c r="D27" s="121"/>
      <c r="E27" s="191"/>
      <c r="F27" s="121"/>
      <c r="G27" s="121"/>
      <c r="H27" s="121"/>
      <c r="I27" s="190" t="s">
        <v>415</v>
      </c>
      <c r="J27" s="195" t="s">
        <v>479</v>
      </c>
      <c r="K27" s="195" t="s">
        <v>26</v>
      </c>
      <c r="L27" s="195" t="s">
        <v>323</v>
      </c>
      <c r="M27" s="121" t="s">
        <v>321</v>
      </c>
      <c r="N27" s="199">
        <v>827745.58</v>
      </c>
      <c r="O27" s="198">
        <v>34</v>
      </c>
      <c r="P27" s="198">
        <v>14</v>
      </c>
      <c r="Q27" s="198">
        <v>12</v>
      </c>
      <c r="R27" s="190" t="s">
        <v>415</v>
      </c>
      <c r="S27" s="187" t="s">
        <v>408</v>
      </c>
    </row>
    <row r="28" spans="1:19" x14ac:dyDescent="0.2">
      <c r="A28" s="195"/>
      <c r="B28" s="195"/>
      <c r="C28" s="195"/>
      <c r="D28" s="121"/>
      <c r="E28" s="191"/>
      <c r="F28" s="121"/>
      <c r="G28" s="121"/>
      <c r="H28" s="121"/>
      <c r="J28" s="195" t="s">
        <v>479</v>
      </c>
      <c r="K28" s="195" t="s">
        <v>26</v>
      </c>
      <c r="L28" s="195" t="s">
        <v>323</v>
      </c>
      <c r="M28" s="121" t="s">
        <v>322</v>
      </c>
      <c r="N28" s="196">
        <v>0</v>
      </c>
      <c r="O28" s="200">
        <v>0</v>
      </c>
      <c r="P28" s="200">
        <v>0</v>
      </c>
      <c r="Q28" s="200">
        <v>0</v>
      </c>
      <c r="S28" s="44" t="s">
        <v>215</v>
      </c>
    </row>
    <row r="29" spans="1:19" x14ac:dyDescent="0.2">
      <c r="A29" s="195"/>
      <c r="B29" s="195"/>
      <c r="C29" s="195"/>
      <c r="D29" s="121"/>
      <c r="E29" s="191"/>
      <c r="F29" s="121"/>
      <c r="G29" s="121"/>
      <c r="H29" s="121"/>
      <c r="J29" s="195" t="s">
        <v>479</v>
      </c>
      <c r="K29" s="195" t="s">
        <v>26</v>
      </c>
      <c r="L29" s="195" t="s">
        <v>323</v>
      </c>
      <c r="M29" s="121" t="s">
        <v>391</v>
      </c>
      <c r="N29" s="196">
        <v>0</v>
      </c>
      <c r="O29" s="200">
        <v>0</v>
      </c>
      <c r="P29" s="200">
        <v>0</v>
      </c>
      <c r="Q29" s="200">
        <v>0</v>
      </c>
      <c r="S29" s="44" t="s">
        <v>409</v>
      </c>
    </row>
    <row r="30" spans="1:19" ht="15" customHeight="1" x14ac:dyDescent="0.2">
      <c r="A30" s="195"/>
      <c r="B30" s="195"/>
      <c r="C30" s="195"/>
      <c r="D30" s="121"/>
      <c r="E30" s="191"/>
      <c r="F30" s="121"/>
      <c r="G30" s="121"/>
      <c r="H30" s="121"/>
      <c r="J30" s="195" t="s">
        <v>479</v>
      </c>
      <c r="K30" s="195" t="s">
        <v>26</v>
      </c>
      <c r="L30" s="195" t="s">
        <v>323</v>
      </c>
      <c r="M30" s="121" t="s">
        <v>392</v>
      </c>
      <c r="N30" s="196">
        <v>0</v>
      </c>
      <c r="O30" s="200">
        <v>0</v>
      </c>
      <c r="P30" s="200">
        <v>0</v>
      </c>
      <c r="Q30" s="200">
        <v>0</v>
      </c>
      <c r="S30" s="44" t="s">
        <v>410</v>
      </c>
    </row>
    <row r="31" spans="1:19" x14ac:dyDescent="0.2">
      <c r="A31" s="195"/>
      <c r="B31" s="195"/>
      <c r="C31" s="195"/>
      <c r="D31" s="121"/>
      <c r="E31" s="191"/>
      <c r="F31" s="121"/>
      <c r="G31" s="121"/>
      <c r="H31" s="121"/>
      <c r="J31" s="195" t="s">
        <v>479</v>
      </c>
      <c r="K31" s="195" t="s">
        <v>26</v>
      </c>
      <c r="L31" s="195" t="s">
        <v>323</v>
      </c>
      <c r="M31" s="121" t="s">
        <v>393</v>
      </c>
      <c r="N31" s="196">
        <v>0</v>
      </c>
      <c r="O31" s="200">
        <v>0</v>
      </c>
      <c r="P31" s="200">
        <v>0</v>
      </c>
      <c r="Q31" s="200">
        <v>0</v>
      </c>
      <c r="S31" s="44" t="s">
        <v>411</v>
      </c>
    </row>
    <row r="32" spans="1:19" x14ac:dyDescent="0.2">
      <c r="A32" s="195"/>
      <c r="B32" s="195"/>
      <c r="C32" s="195"/>
      <c r="D32" s="201"/>
      <c r="E32" s="202"/>
      <c r="F32" s="201"/>
      <c r="G32" s="201"/>
      <c r="H32" s="201"/>
      <c r="J32" s="195" t="s">
        <v>479</v>
      </c>
      <c r="K32" s="195" t="s">
        <v>26</v>
      </c>
      <c r="L32" s="195" t="s">
        <v>323</v>
      </c>
      <c r="M32" s="201" t="s">
        <v>394</v>
      </c>
      <c r="N32" s="203">
        <v>64124591.68</v>
      </c>
      <c r="O32" s="204">
        <v>4054</v>
      </c>
      <c r="P32" s="204">
        <v>3786</v>
      </c>
      <c r="Q32" s="204">
        <v>2882</v>
      </c>
      <c r="S32" s="185" t="s">
        <v>412</v>
      </c>
    </row>
    <row r="33" spans="1:19" x14ac:dyDescent="0.2">
      <c r="A33" s="195"/>
      <c r="B33" s="195"/>
      <c r="C33" s="195"/>
      <c r="D33" s="121"/>
      <c r="E33" s="191"/>
      <c r="F33" s="121"/>
      <c r="G33" s="121"/>
      <c r="H33" s="121"/>
      <c r="J33" s="195" t="s">
        <v>479</v>
      </c>
      <c r="K33" s="195" t="s">
        <v>26</v>
      </c>
      <c r="L33" s="195" t="s">
        <v>323</v>
      </c>
      <c r="M33" s="121" t="s">
        <v>49</v>
      </c>
      <c r="N33" s="196">
        <v>720</v>
      </c>
      <c r="O33" s="200">
        <v>0</v>
      </c>
      <c r="P33" s="200">
        <v>0</v>
      </c>
      <c r="Q33" s="200">
        <v>0</v>
      </c>
      <c r="S33" s="44" t="s">
        <v>413</v>
      </c>
    </row>
    <row r="34" spans="1:19" x14ac:dyDescent="0.2">
      <c r="A34" s="195"/>
      <c r="B34" s="195"/>
      <c r="C34" s="195"/>
      <c r="D34" s="121"/>
      <c r="E34" s="191"/>
      <c r="F34" s="121"/>
      <c r="G34" s="121"/>
      <c r="H34" s="121"/>
      <c r="J34" s="195" t="s">
        <v>479</v>
      </c>
      <c r="K34" s="195" t="s">
        <v>26</v>
      </c>
      <c r="L34" s="195" t="s">
        <v>323</v>
      </c>
      <c r="M34" s="121" t="s">
        <v>50</v>
      </c>
      <c r="N34" s="196">
        <v>10</v>
      </c>
      <c r="O34" s="200">
        <v>0</v>
      </c>
      <c r="P34" s="200">
        <v>0</v>
      </c>
      <c r="Q34" s="200">
        <v>0</v>
      </c>
      <c r="S34" s="44" t="s">
        <v>414</v>
      </c>
    </row>
    <row r="35" spans="1:19" x14ac:dyDescent="0.2">
      <c r="D35" s="188" t="s">
        <v>89</v>
      </c>
      <c r="E35" s="192">
        <f>SUM(E3:E6,E21,E23)</f>
        <v>0</v>
      </c>
      <c r="F35" s="186">
        <f>SUM(F3:F6,F21,F23)</f>
        <v>0</v>
      </c>
      <c r="G35" s="186">
        <f>SUM(G3:G6,G21,G23)</f>
        <v>0</v>
      </c>
      <c r="H35" s="186">
        <f>SUM(H3:H6,H21,H23)</f>
        <v>0</v>
      </c>
      <c r="M35" s="188" t="s">
        <v>89</v>
      </c>
      <c r="N35" s="192">
        <f>SUM(N3:N6,N21,N23)</f>
        <v>29661846.149999999</v>
      </c>
      <c r="O35" s="186">
        <f>SUM(O3:O6,O21,O23)</f>
        <v>1827</v>
      </c>
      <c r="P35" s="186">
        <f>SUM(P3:P6,P21,P23)</f>
        <v>1743</v>
      </c>
      <c r="Q35" s="186">
        <f>SUM(Q3:Q6,Q21,Q23)</f>
        <v>1330</v>
      </c>
    </row>
    <row r="36" spans="1:19" x14ac:dyDescent="0.2">
      <c r="D36" s="45" t="s">
        <v>99</v>
      </c>
      <c r="E36" s="94">
        <f>E3+E4+E5+E6+E21+E23</f>
        <v>0</v>
      </c>
      <c r="F36" s="121">
        <f>F3+F4+F5+F6+F21+F23</f>
        <v>0</v>
      </c>
      <c r="G36" s="121">
        <f>G3+G4+G5+G6+G21+G23</f>
        <v>0</v>
      </c>
      <c r="H36" s="121">
        <f>H3+H4+H5+H6+H21+H23</f>
        <v>0</v>
      </c>
      <c r="M36" s="45" t="s">
        <v>99</v>
      </c>
      <c r="N36" s="94">
        <f>N3+N4+N5+N6+N21+N23</f>
        <v>29661846.149999999</v>
      </c>
      <c r="O36" s="121">
        <f>O3+O4+O5+O6+O21+O23</f>
        <v>1827</v>
      </c>
      <c r="P36" s="121">
        <f>P3+P4+P5+P6+P21+P23</f>
        <v>1743</v>
      </c>
      <c r="Q36" s="121">
        <f>Q3+Q4+Q5+Q6+Q21+Q23</f>
        <v>1330</v>
      </c>
    </row>
    <row r="37" spans="1:19" x14ac:dyDescent="0.2">
      <c r="D37" s="188" t="s">
        <v>272</v>
      </c>
      <c r="E37" s="192">
        <f>SUM(E3:E6,E15,E21,E23)</f>
        <v>0</v>
      </c>
      <c r="F37" s="186">
        <f>SUM(F3:F6,F15,F21,F23)</f>
        <v>0</v>
      </c>
      <c r="G37" s="186">
        <f>SUM(G3:G6,G15,G21,G23)</f>
        <v>0</v>
      </c>
      <c r="H37" s="186">
        <f>SUM(H3:H6,H15,H21,H23)</f>
        <v>0</v>
      </c>
      <c r="M37" s="188" t="s">
        <v>272</v>
      </c>
      <c r="N37" s="192">
        <f>SUM(N3:N6,N15,N21,N23)</f>
        <v>30377979.48</v>
      </c>
      <c r="O37" s="186">
        <f>SUM(O3:O6,O15,O21,O23)</f>
        <v>1888</v>
      </c>
      <c r="P37" s="186">
        <f>SUM(P3:P6,P15,P21,P23)</f>
        <v>1817</v>
      </c>
      <c r="Q37" s="186">
        <f>SUM(Q3:Q6,Q15,Q21,Q23)</f>
        <v>1401</v>
      </c>
    </row>
    <row r="38" spans="1:19" x14ac:dyDescent="0.2">
      <c r="D38" s="45" t="s">
        <v>99</v>
      </c>
      <c r="E38" s="94">
        <f>E3+E4+E5+E6+E15+E21+E23</f>
        <v>0</v>
      </c>
      <c r="F38" s="121">
        <f>F3+F4+F5+F6+F15+F21+F23</f>
        <v>0</v>
      </c>
      <c r="G38" s="121">
        <f>G3+G4+G5+G6+G15+G21+G23</f>
        <v>0</v>
      </c>
      <c r="H38" s="121">
        <f>H3+H4+H5+H6+H15+H21+H23</f>
        <v>0</v>
      </c>
      <c r="M38" s="45" t="s">
        <v>99</v>
      </c>
      <c r="N38" s="94">
        <f>N3+N4+N5+N6+N15+N21+N23</f>
        <v>30377979.48</v>
      </c>
      <c r="O38" s="121">
        <f>O3+O4+O5+O6+O15+O21+O23</f>
        <v>1888</v>
      </c>
      <c r="P38" s="121">
        <f>P3+P4+P5+P6+P15+P21+P23</f>
        <v>1817</v>
      </c>
      <c r="Q38" s="121">
        <f>Q3+Q4+Q5+Q6+Q15+Q21+Q23</f>
        <v>1401</v>
      </c>
    </row>
    <row r="39" spans="1:19" x14ac:dyDescent="0.2">
      <c r="D39" s="44"/>
      <c r="F39" s="45"/>
      <c r="G39" s="192" t="e">
        <f>SUM(H32)/G32*100</f>
        <v>#DIV/0!</v>
      </c>
      <c r="H39" s="193" t="e">
        <f>SUM(E32)/H32</f>
        <v>#DIV/0!</v>
      </c>
      <c r="P39" s="192">
        <f>SUM(Q32)/P32*100</f>
        <v>76.122556788166932</v>
      </c>
      <c r="Q39" s="193">
        <f>SUM(N32)/Q32</f>
        <v>22250.031811242192</v>
      </c>
    </row>
    <row r="40" spans="1:19" x14ac:dyDescent="0.2">
      <c r="D40" s="44"/>
      <c r="E40" s="196">
        <f>SUM(E3:E21,E23,E25:E31)</f>
        <v>0</v>
      </c>
      <c r="F40" s="200">
        <f>SUM(F3:F21,F23,F25:F31)</f>
        <v>0</v>
      </c>
      <c r="G40" s="200">
        <f>SUM(G3:G21,G23,G25:G31)</f>
        <v>0</v>
      </c>
      <c r="H40" s="200">
        <f>SUM(H3:H21,H23,H25:H31)</f>
        <v>0</v>
      </c>
      <c r="N40" s="196">
        <f>SUM(N3:N21,N23,N25:N31)</f>
        <v>32062295.84</v>
      </c>
      <c r="O40" s="200">
        <f>SUM(O3:O21,O23,O25:O31)</f>
        <v>2027</v>
      </c>
      <c r="P40" s="200">
        <f>SUM(P3:P21,P23,P25:P31)</f>
        <v>1893</v>
      </c>
      <c r="Q40" s="200">
        <f>SUM(Q3:Q21,Q23,Q25:Q31)</f>
        <v>1441</v>
      </c>
    </row>
    <row r="41" spans="1:19" x14ac:dyDescent="0.2">
      <c r="D41" s="44"/>
      <c r="E41" s="191">
        <f>SUM(E2:E31)</f>
        <v>0</v>
      </c>
      <c r="F41" s="121">
        <f>SUM(F2:F31)</f>
        <v>0</v>
      </c>
      <c r="G41" s="121">
        <f>SUM(G2:G31)</f>
        <v>0</v>
      </c>
      <c r="H41" s="121">
        <f>SUM(H2:H31)</f>
        <v>0</v>
      </c>
      <c r="N41" s="191">
        <f>SUM(N2:N31)</f>
        <v>64124591.679999992</v>
      </c>
      <c r="O41" s="121">
        <f>SUM(O2:O31)</f>
        <v>4054</v>
      </c>
      <c r="P41" s="121">
        <f>SUM(P2:P31)</f>
        <v>3786</v>
      </c>
      <c r="Q41" s="121">
        <f>SUM(Q2:Q31)</f>
        <v>2882</v>
      </c>
    </row>
  </sheetData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Arkusz50">
    <tabColor theme="4" tint="0.59999389629810485"/>
  </sheetPr>
  <dimension ref="A1"/>
  <sheetViews>
    <sheetView zoomScale="80" zoomScaleNormal="80" workbookViewId="0"/>
  </sheetViews>
  <sheetFormatPr defaultRowHeight="15" x14ac:dyDescent="0.25"/>
  <cols>
    <col min="1" max="16384" width="9.140625" style="133"/>
  </cols>
  <sheetData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0"/>
    <pageSetUpPr fitToPage="1"/>
  </sheetPr>
  <dimension ref="B1:R20"/>
  <sheetViews>
    <sheetView zoomScale="80" zoomScaleNormal="80" workbookViewId="0">
      <selection activeCell="B1" sqref="B1"/>
    </sheetView>
  </sheetViews>
  <sheetFormatPr defaultRowHeight="12" x14ac:dyDescent="0.2"/>
  <cols>
    <col min="1" max="1" width="1.85546875" style="55" customWidth="1"/>
    <col min="2" max="2" width="23.5703125" style="55" customWidth="1"/>
    <col min="3" max="3" width="8.7109375" style="55" customWidth="1"/>
    <col min="4" max="4" width="8.42578125" style="55" customWidth="1"/>
    <col min="5" max="5" width="8.5703125" style="55" customWidth="1"/>
    <col min="6" max="6" width="8.28515625" style="55" customWidth="1"/>
    <col min="7" max="8" width="8.140625" style="55" customWidth="1"/>
    <col min="9" max="9" width="7.85546875" style="55" customWidth="1"/>
    <col min="10" max="10" width="8.28515625" style="55" customWidth="1"/>
    <col min="11" max="11" width="7.5703125" style="55" customWidth="1"/>
    <col min="12" max="12" width="8.42578125" style="55" customWidth="1"/>
    <col min="13" max="13" width="7.28515625" style="55" customWidth="1"/>
    <col min="14" max="15" width="7.7109375" style="55" customWidth="1"/>
    <col min="16" max="17" width="8" style="55" customWidth="1"/>
    <col min="18" max="18" width="7.85546875" style="55" customWidth="1"/>
    <col min="19" max="16384" width="9.140625" style="55"/>
  </cols>
  <sheetData>
    <row r="1" spans="2:18" ht="12.75" thickBot="1" x14ac:dyDescent="0.25">
      <c r="B1" s="55" t="s">
        <v>352</v>
      </c>
    </row>
    <row r="2" spans="2:18" x14ac:dyDescent="0.2">
      <c r="B2" s="800" t="s">
        <v>163</v>
      </c>
      <c r="C2" s="145">
        <v>1995</v>
      </c>
      <c r="D2" s="145">
        <v>1998</v>
      </c>
      <c r="E2" s="145">
        <v>2000</v>
      </c>
      <c r="F2" s="145">
        <v>2003</v>
      </c>
      <c r="G2" s="145">
        <v>2005</v>
      </c>
      <c r="H2" s="145">
        <v>2015</v>
      </c>
      <c r="I2" s="145">
        <v>2016</v>
      </c>
      <c r="J2" s="145">
        <v>2017</v>
      </c>
      <c r="K2" s="145">
        <v>2018</v>
      </c>
      <c r="L2" s="145">
        <v>2019</v>
      </c>
      <c r="M2" s="145">
        <v>2020</v>
      </c>
      <c r="N2" s="145">
        <v>2021</v>
      </c>
      <c r="O2" s="145">
        <v>2022</v>
      </c>
      <c r="P2" s="145">
        <v>2023</v>
      </c>
      <c r="Q2" s="145">
        <v>2024</v>
      </c>
      <c r="R2" s="145" t="s">
        <v>164</v>
      </c>
    </row>
    <row r="3" spans="2:18" ht="15" customHeight="1" x14ac:dyDescent="0.2">
      <c r="B3" s="801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 t="s">
        <v>165</v>
      </c>
    </row>
    <row r="4" spans="2:18" ht="15" customHeight="1" x14ac:dyDescent="0.2">
      <c r="B4" s="801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 t="s">
        <v>166</v>
      </c>
    </row>
    <row r="5" spans="2:18" ht="15.75" customHeight="1" thickBot="1" x14ac:dyDescent="0.25">
      <c r="B5" s="802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8">
        <v>1</v>
      </c>
    </row>
    <row r="6" spans="2:18" ht="12.75" thickBot="1" x14ac:dyDescent="0.25">
      <c r="B6" s="102" t="s">
        <v>128</v>
      </c>
      <c r="C6" s="103">
        <v>3461.1</v>
      </c>
      <c r="D6" s="103">
        <v>3378.7</v>
      </c>
      <c r="E6" s="103">
        <v>2955</v>
      </c>
      <c r="F6" s="103">
        <v>2639.1</v>
      </c>
      <c r="G6" s="103">
        <v>2665.4</v>
      </c>
      <c r="H6" s="103">
        <v>2705.6</v>
      </c>
      <c r="I6" s="103">
        <v>2777.9</v>
      </c>
      <c r="J6" s="104">
        <v>2849.7</v>
      </c>
      <c r="K6" s="105">
        <f>SUM(K13,K7)</f>
        <v>2905.3999999999996</v>
      </c>
      <c r="L6" s="104">
        <v>2951.4</v>
      </c>
      <c r="M6" s="106">
        <v>2898.2</v>
      </c>
      <c r="N6" s="106">
        <v>2939.3</v>
      </c>
      <c r="O6" s="106">
        <v>2950</v>
      </c>
      <c r="P6" s="106">
        <v>2914.4</v>
      </c>
      <c r="Q6" s="106">
        <v>2885.7</v>
      </c>
      <c r="R6" s="107">
        <f>(Q6-C6)/C6*100</f>
        <v>-16.624772471179686</v>
      </c>
    </row>
    <row r="7" spans="2:18" ht="12.75" thickBot="1" x14ac:dyDescent="0.25">
      <c r="B7" s="108" t="s">
        <v>167</v>
      </c>
      <c r="C7" s="109">
        <v>1890.1</v>
      </c>
      <c r="D7" s="109">
        <v>1120</v>
      </c>
      <c r="E7" s="109">
        <v>838.8</v>
      </c>
      <c r="F7" s="109">
        <v>595.20000000000005</v>
      </c>
      <c r="G7" s="109">
        <v>504.1</v>
      </c>
      <c r="H7" s="109">
        <v>296.5</v>
      </c>
      <c r="I7" s="109">
        <v>274.89999999999998</v>
      </c>
      <c r="J7" s="110">
        <v>273</v>
      </c>
      <c r="K7" s="111">
        <v>276.2</v>
      </c>
      <c r="L7" s="110">
        <v>276.7</v>
      </c>
      <c r="M7" s="110">
        <v>276.8</v>
      </c>
      <c r="N7" s="110">
        <v>273.2</v>
      </c>
      <c r="O7" s="110">
        <v>261</v>
      </c>
      <c r="P7" s="110">
        <v>266.5</v>
      </c>
      <c r="Q7" s="110">
        <v>269.89999999999998</v>
      </c>
      <c r="R7" s="107">
        <f>(Q7-C7)/C7*100</f>
        <v>-85.720332257552499</v>
      </c>
    </row>
    <row r="8" spans="2:18" ht="12.75" thickBot="1" x14ac:dyDescent="0.25">
      <c r="B8" s="112" t="s">
        <v>117</v>
      </c>
      <c r="C8" s="113"/>
      <c r="D8" s="113"/>
      <c r="E8" s="113"/>
      <c r="F8" s="114"/>
      <c r="G8" s="114"/>
      <c r="H8" s="114"/>
      <c r="I8" s="114"/>
      <c r="J8" s="115"/>
      <c r="K8" s="115"/>
      <c r="L8" s="115"/>
      <c r="M8" s="115"/>
      <c r="N8" s="115"/>
      <c r="O8" s="115"/>
      <c r="P8" s="115"/>
      <c r="Q8" s="115"/>
      <c r="R8" s="114"/>
    </row>
    <row r="9" spans="2:18" ht="16.5" customHeight="1" thickBot="1" x14ac:dyDescent="0.25">
      <c r="B9" s="102" t="s">
        <v>168</v>
      </c>
      <c r="C9" s="103">
        <v>1724.6</v>
      </c>
      <c r="D9" s="103">
        <v>909.7</v>
      </c>
      <c r="E9" s="103">
        <v>673.1</v>
      </c>
      <c r="F9" s="103">
        <v>462.9</v>
      </c>
      <c r="G9" s="103">
        <v>363.2</v>
      </c>
      <c r="H9" s="103" t="s">
        <v>169</v>
      </c>
      <c r="I9" s="103" t="s">
        <v>169</v>
      </c>
      <c r="J9" s="104" t="s">
        <v>169</v>
      </c>
      <c r="K9" s="105" t="s">
        <v>169</v>
      </c>
      <c r="L9" s="104" t="s">
        <v>169</v>
      </c>
      <c r="M9" s="104" t="s">
        <v>169</v>
      </c>
      <c r="N9" s="106" t="s">
        <v>169</v>
      </c>
      <c r="O9" s="106" t="s">
        <v>169</v>
      </c>
      <c r="P9" s="106" t="s">
        <v>169</v>
      </c>
      <c r="Q9" s="106" t="s">
        <v>169</v>
      </c>
      <c r="R9" s="107" t="s">
        <v>169</v>
      </c>
    </row>
    <row r="10" spans="2:18" ht="19.5" customHeight="1" thickBot="1" x14ac:dyDescent="0.25">
      <c r="B10" s="102" t="s">
        <v>170</v>
      </c>
      <c r="C10" s="103">
        <v>969.1</v>
      </c>
      <c r="D10" s="103">
        <v>617.70000000000005</v>
      </c>
      <c r="E10" s="103">
        <v>464.6</v>
      </c>
      <c r="F10" s="103">
        <v>340.5</v>
      </c>
      <c r="G10" s="103">
        <v>266.89999999999998</v>
      </c>
      <c r="H10" s="103" t="s">
        <v>169</v>
      </c>
      <c r="I10" s="103" t="s">
        <v>169</v>
      </c>
      <c r="J10" s="106" t="s">
        <v>169</v>
      </c>
      <c r="K10" s="105" t="s">
        <v>169</v>
      </c>
      <c r="L10" s="106" t="s">
        <v>169</v>
      </c>
      <c r="M10" s="104" t="s">
        <v>169</v>
      </c>
      <c r="N10" s="106" t="s">
        <v>169</v>
      </c>
      <c r="O10" s="106" t="s">
        <v>169</v>
      </c>
      <c r="P10" s="106" t="s">
        <v>169</v>
      </c>
      <c r="Q10" s="106" t="s">
        <v>169</v>
      </c>
      <c r="R10" s="107" t="s">
        <v>169</v>
      </c>
    </row>
    <row r="11" spans="2:18" ht="24.75" thickBot="1" x14ac:dyDescent="0.25">
      <c r="B11" s="102" t="s">
        <v>171</v>
      </c>
      <c r="C11" s="103">
        <v>720.7</v>
      </c>
      <c r="D11" s="103">
        <v>217.4</v>
      </c>
      <c r="E11" s="103">
        <v>96.3</v>
      </c>
      <c r="F11" s="103">
        <v>43.5</v>
      </c>
      <c r="G11" s="103">
        <v>22.4</v>
      </c>
      <c r="H11" s="103" t="s">
        <v>169</v>
      </c>
      <c r="I11" s="103" t="s">
        <v>169</v>
      </c>
      <c r="J11" s="106" t="s">
        <v>169</v>
      </c>
      <c r="K11" s="105" t="s">
        <v>169</v>
      </c>
      <c r="L11" s="106" t="s">
        <v>169</v>
      </c>
      <c r="M11" s="104" t="s">
        <v>169</v>
      </c>
      <c r="N11" s="106" t="s">
        <v>169</v>
      </c>
      <c r="O11" s="106" t="s">
        <v>169</v>
      </c>
      <c r="P11" s="106" t="s">
        <v>169</v>
      </c>
      <c r="Q11" s="106" t="s">
        <v>169</v>
      </c>
      <c r="R11" s="107" t="s">
        <v>169</v>
      </c>
    </row>
    <row r="12" spans="2:18" ht="24.75" thickBot="1" x14ac:dyDescent="0.25">
      <c r="B12" s="102" t="s">
        <v>172</v>
      </c>
      <c r="C12" s="103">
        <v>93.5</v>
      </c>
      <c r="D12" s="103">
        <v>93.4</v>
      </c>
      <c r="E12" s="103">
        <v>90.7</v>
      </c>
      <c r="F12" s="103">
        <v>77.8</v>
      </c>
      <c r="G12" s="103">
        <v>72.2</v>
      </c>
      <c r="H12" s="103" t="s">
        <v>169</v>
      </c>
      <c r="I12" s="103" t="s">
        <v>169</v>
      </c>
      <c r="J12" s="106" t="s">
        <v>169</v>
      </c>
      <c r="K12" s="105" t="s">
        <v>169</v>
      </c>
      <c r="L12" s="106" t="s">
        <v>169</v>
      </c>
      <c r="M12" s="104" t="s">
        <v>169</v>
      </c>
      <c r="N12" s="106" t="s">
        <v>169</v>
      </c>
      <c r="O12" s="106" t="s">
        <v>169</v>
      </c>
      <c r="P12" s="106" t="s">
        <v>169</v>
      </c>
      <c r="Q12" s="106" t="s">
        <v>169</v>
      </c>
      <c r="R12" s="107" t="s">
        <v>169</v>
      </c>
    </row>
    <row r="13" spans="2:18" ht="12.75" thickBot="1" x14ac:dyDescent="0.25">
      <c r="B13" s="108" t="s">
        <v>221</v>
      </c>
      <c r="C13" s="109">
        <v>1571</v>
      </c>
      <c r="D13" s="109">
        <v>2258.6999999999998</v>
      </c>
      <c r="E13" s="109">
        <v>2116.1999999999998</v>
      </c>
      <c r="F13" s="109">
        <v>2043.9</v>
      </c>
      <c r="G13" s="109">
        <v>2161.3000000000002</v>
      </c>
      <c r="H13" s="109">
        <v>2409.1</v>
      </c>
      <c r="I13" s="109">
        <v>2503</v>
      </c>
      <c r="J13" s="110">
        <v>2576.6999999999998</v>
      </c>
      <c r="K13" s="111">
        <v>2629.2</v>
      </c>
      <c r="L13" s="110">
        <v>2674.7</v>
      </c>
      <c r="M13" s="110">
        <v>2621.4</v>
      </c>
      <c r="N13" s="110">
        <v>2666.1</v>
      </c>
      <c r="O13" s="110">
        <v>2689.1</v>
      </c>
      <c r="P13" s="110">
        <v>2647.9</v>
      </c>
      <c r="Q13" s="110">
        <v>2615.8000000000002</v>
      </c>
      <c r="R13" s="107">
        <f>(Q13-C13)/C13*100</f>
        <v>66.505410566518151</v>
      </c>
    </row>
    <row r="14" spans="2:18" ht="12.75" thickBot="1" x14ac:dyDescent="0.25">
      <c r="B14" s="112" t="s">
        <v>117</v>
      </c>
      <c r="C14" s="114"/>
      <c r="D14" s="114"/>
      <c r="E14" s="114"/>
      <c r="F14" s="114"/>
      <c r="G14" s="114"/>
      <c r="H14" s="114"/>
      <c r="I14" s="114"/>
      <c r="J14" s="115"/>
      <c r="K14" s="115"/>
      <c r="L14" s="115"/>
      <c r="M14" s="115"/>
      <c r="N14" s="115"/>
      <c r="O14" s="115"/>
      <c r="P14" s="115"/>
      <c r="Q14" s="115"/>
      <c r="R14" s="114"/>
    </row>
    <row r="15" spans="2:18" ht="12.75" thickBot="1" x14ac:dyDescent="0.25">
      <c r="B15" s="102" t="s">
        <v>173</v>
      </c>
      <c r="C15" s="103">
        <v>1205.8</v>
      </c>
      <c r="D15" s="103">
        <v>1464.5</v>
      </c>
      <c r="E15" s="103">
        <v>1406.6</v>
      </c>
      <c r="F15" s="103">
        <v>1375</v>
      </c>
      <c r="G15" s="103">
        <v>1451.9</v>
      </c>
      <c r="H15" s="103">
        <v>1592.1</v>
      </c>
      <c r="I15" s="103">
        <v>1652.4</v>
      </c>
      <c r="J15" s="105">
        <v>1701.3</v>
      </c>
      <c r="K15" s="104">
        <v>1731.9</v>
      </c>
      <c r="L15" s="104">
        <v>1758</v>
      </c>
      <c r="M15" s="105">
        <v>1712.9</v>
      </c>
      <c r="N15" s="104">
        <v>1733.4</v>
      </c>
      <c r="O15" s="106">
        <v>1732.3</v>
      </c>
      <c r="P15" s="106">
        <v>1687.1</v>
      </c>
      <c r="Q15" s="106">
        <v>1667.8</v>
      </c>
      <c r="R15" s="107">
        <f>(Q15-C15)/C15*100</f>
        <v>38.314811743241002</v>
      </c>
    </row>
    <row r="16" spans="2:18" ht="12.75" thickBot="1" x14ac:dyDescent="0.25">
      <c r="B16" s="102" t="s">
        <v>174</v>
      </c>
      <c r="C16" s="103">
        <v>203.8</v>
      </c>
      <c r="D16" s="103">
        <v>163.19999999999999</v>
      </c>
      <c r="E16" s="103">
        <v>127.9</v>
      </c>
      <c r="F16" s="103">
        <v>93.8</v>
      </c>
      <c r="G16" s="103">
        <v>83.4</v>
      </c>
      <c r="H16" s="103">
        <v>46.1</v>
      </c>
      <c r="I16" s="103">
        <v>45.3</v>
      </c>
      <c r="J16" s="105">
        <v>44.5</v>
      </c>
      <c r="K16" s="106">
        <v>42.7</v>
      </c>
      <c r="L16" s="106">
        <v>41.2</v>
      </c>
      <c r="M16" s="105">
        <v>39.200000000000003</v>
      </c>
      <c r="N16" s="106">
        <v>38.200000000000003</v>
      </c>
      <c r="O16" s="106">
        <v>36.5</v>
      </c>
      <c r="P16" s="106">
        <v>35.700000000000003</v>
      </c>
      <c r="Q16" s="106">
        <v>33.5</v>
      </c>
      <c r="R16" s="107">
        <f>(Q16-C16)/C16*100</f>
        <v>-83.562315996074588</v>
      </c>
    </row>
    <row r="17" spans="2:18" ht="12.75" thickBot="1" x14ac:dyDescent="0.25">
      <c r="B17" s="116" t="s">
        <v>175</v>
      </c>
      <c r="C17" s="117">
        <v>149.1</v>
      </c>
      <c r="D17" s="117">
        <v>259.7</v>
      </c>
      <c r="E17" s="117">
        <v>305.7</v>
      </c>
      <c r="F17" s="117">
        <v>384</v>
      </c>
      <c r="G17" s="117">
        <v>477.2</v>
      </c>
      <c r="H17" s="117">
        <v>734.5</v>
      </c>
      <c r="I17" s="117">
        <v>777.2</v>
      </c>
      <c r="J17" s="118">
        <v>805.8</v>
      </c>
      <c r="K17" s="119">
        <v>831.1</v>
      </c>
      <c r="L17" s="119">
        <v>858.1</v>
      </c>
      <c r="M17" s="118">
        <v>852</v>
      </c>
      <c r="N17" s="119">
        <v>875.7</v>
      </c>
      <c r="O17" s="119">
        <v>895.7</v>
      </c>
      <c r="P17" s="119">
        <v>901.4</v>
      </c>
      <c r="Q17" s="119">
        <v>888.6</v>
      </c>
      <c r="R17" s="107">
        <f>(Q17-C17)/C17*100</f>
        <v>495.97585513078474</v>
      </c>
    </row>
    <row r="18" spans="2:18" x14ac:dyDescent="0.2">
      <c r="C18" s="49">
        <f t="shared" ref="C18:Q18" si="0">SUM(C7+C13)</f>
        <v>3461.1</v>
      </c>
      <c r="D18" s="49">
        <f t="shared" si="0"/>
        <v>3378.7</v>
      </c>
      <c r="E18" s="49">
        <f t="shared" si="0"/>
        <v>2955</v>
      </c>
      <c r="F18" s="49">
        <f t="shared" si="0"/>
        <v>2639.1000000000004</v>
      </c>
      <c r="G18" s="49">
        <f t="shared" si="0"/>
        <v>2665.4</v>
      </c>
      <c r="H18" s="49">
        <f t="shared" si="0"/>
        <v>2705.6</v>
      </c>
      <c r="I18" s="49">
        <f t="shared" si="0"/>
        <v>2777.9</v>
      </c>
      <c r="J18" s="49">
        <f t="shared" si="0"/>
        <v>2849.7</v>
      </c>
      <c r="K18" s="49">
        <f t="shared" si="0"/>
        <v>2905.3999999999996</v>
      </c>
      <c r="L18" s="49">
        <f t="shared" si="0"/>
        <v>2951.3999999999996</v>
      </c>
      <c r="M18" s="49">
        <f t="shared" si="0"/>
        <v>2898.2000000000003</v>
      </c>
      <c r="N18" s="49">
        <f t="shared" si="0"/>
        <v>2939.2999999999997</v>
      </c>
      <c r="O18" s="49">
        <f t="shared" si="0"/>
        <v>2950.1</v>
      </c>
      <c r="P18" s="49">
        <f t="shared" si="0"/>
        <v>2914.4</v>
      </c>
      <c r="Q18" s="49">
        <f t="shared" si="0"/>
        <v>2885.7000000000003</v>
      </c>
      <c r="R18" s="49"/>
    </row>
    <row r="19" spans="2:18" x14ac:dyDescent="0.2">
      <c r="C19" s="49">
        <f t="shared" ref="C19:Q19" si="1">SUM(C15+C17)</f>
        <v>1354.8999999999999</v>
      </c>
      <c r="D19" s="49">
        <f t="shared" si="1"/>
        <v>1724.2</v>
      </c>
      <c r="E19" s="49">
        <f t="shared" si="1"/>
        <v>1712.3</v>
      </c>
      <c r="F19" s="49">
        <f t="shared" si="1"/>
        <v>1759</v>
      </c>
      <c r="G19" s="49">
        <f t="shared" si="1"/>
        <v>1929.1000000000001</v>
      </c>
      <c r="H19" s="49">
        <f t="shared" si="1"/>
        <v>2326.6</v>
      </c>
      <c r="I19" s="49">
        <f t="shared" si="1"/>
        <v>2429.6000000000004</v>
      </c>
      <c r="J19" s="49">
        <f t="shared" si="1"/>
        <v>2507.1</v>
      </c>
      <c r="K19" s="49">
        <f t="shared" si="1"/>
        <v>2563</v>
      </c>
      <c r="L19" s="49">
        <f t="shared" si="1"/>
        <v>2616.1</v>
      </c>
      <c r="M19" s="49">
        <f t="shared" si="1"/>
        <v>2564.9</v>
      </c>
      <c r="N19" s="49">
        <f t="shared" si="1"/>
        <v>2609.1000000000004</v>
      </c>
      <c r="O19" s="49">
        <f t="shared" si="1"/>
        <v>2628</v>
      </c>
      <c r="P19" s="49">
        <f t="shared" si="1"/>
        <v>2588.5</v>
      </c>
      <c r="Q19" s="49">
        <f t="shared" si="1"/>
        <v>2556.4</v>
      </c>
      <c r="R19" s="49"/>
    </row>
    <row r="20" spans="2:18" x14ac:dyDescent="0.2">
      <c r="B20" s="120"/>
      <c r="C20" s="49">
        <f t="shared" ref="C20:Q20" si="2">SUM(C19-C13)</f>
        <v>-216.10000000000014</v>
      </c>
      <c r="D20" s="49">
        <f t="shared" si="2"/>
        <v>-534.49999999999977</v>
      </c>
      <c r="E20" s="49">
        <f t="shared" si="2"/>
        <v>-403.89999999999986</v>
      </c>
      <c r="F20" s="49">
        <f t="shared" si="2"/>
        <v>-284.90000000000009</v>
      </c>
      <c r="G20" s="49">
        <f t="shared" si="2"/>
        <v>-232.20000000000005</v>
      </c>
      <c r="H20" s="49">
        <f t="shared" si="2"/>
        <v>-82.5</v>
      </c>
      <c r="I20" s="49">
        <f t="shared" si="2"/>
        <v>-73.399999999999636</v>
      </c>
      <c r="J20" s="49">
        <f t="shared" si="2"/>
        <v>-69.599999999999909</v>
      </c>
      <c r="K20" s="49">
        <f t="shared" si="2"/>
        <v>-66.199999999999818</v>
      </c>
      <c r="L20" s="49">
        <f t="shared" si="2"/>
        <v>-58.599999999999909</v>
      </c>
      <c r="M20" s="49">
        <f t="shared" si="2"/>
        <v>-56.5</v>
      </c>
      <c r="N20" s="49">
        <f t="shared" si="2"/>
        <v>-56.999999999999545</v>
      </c>
      <c r="O20" s="49">
        <f t="shared" si="2"/>
        <v>-61.099999999999909</v>
      </c>
      <c r="P20" s="49">
        <f t="shared" si="2"/>
        <v>-59.400000000000091</v>
      </c>
      <c r="Q20" s="49">
        <f t="shared" si="2"/>
        <v>-59.400000000000091</v>
      </c>
      <c r="R20" s="49"/>
    </row>
  </sheetData>
  <mergeCells count="1">
    <mergeCell ref="B2:B5"/>
  </mergeCells>
  <pageMargins left="0" right="0" top="0" bottom="0" header="0" footer="0"/>
  <pageSetup paperSize="9" orientation="landscape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18CE8-F4E3-4B39-83F5-1515D4DE47E3}">
  <sheetPr>
    <tabColor theme="4" tint="0.59999389629810485"/>
  </sheetPr>
  <dimension ref="A1:G49"/>
  <sheetViews>
    <sheetView zoomScale="80" zoomScaleNormal="80" workbookViewId="0">
      <selection sqref="A1:G2"/>
    </sheetView>
  </sheetViews>
  <sheetFormatPr defaultRowHeight="11.25" x14ac:dyDescent="0.2"/>
  <cols>
    <col min="1" max="1" width="9.140625" style="82"/>
    <col min="2" max="2" width="59.28515625" style="82" customWidth="1"/>
    <col min="3" max="3" width="5.28515625" style="82" customWidth="1"/>
    <col min="4" max="4" width="26.85546875" style="82" customWidth="1"/>
    <col min="5" max="5" width="16.5703125" style="82" customWidth="1"/>
    <col min="6" max="6" width="15.7109375" style="82" customWidth="1"/>
    <col min="7" max="7" width="14.85546875" style="82" customWidth="1"/>
    <col min="8" max="16384" width="9.140625" style="82"/>
  </cols>
  <sheetData>
    <row r="1" spans="1:7" x14ac:dyDescent="0.2">
      <c r="A1" s="817" t="s">
        <v>353</v>
      </c>
      <c r="B1" s="817"/>
      <c r="C1" s="817"/>
      <c r="D1" s="817"/>
      <c r="E1" s="817"/>
      <c r="F1" s="817"/>
      <c r="G1" s="817"/>
    </row>
    <row r="2" spans="1:7" x14ac:dyDescent="0.2">
      <c r="A2" s="817"/>
      <c r="B2" s="817"/>
      <c r="C2" s="817"/>
      <c r="D2" s="817"/>
      <c r="E2" s="817"/>
      <c r="F2" s="817"/>
      <c r="G2" s="817"/>
    </row>
    <row r="3" spans="1:7" x14ac:dyDescent="0.2">
      <c r="A3" s="818" t="s">
        <v>354</v>
      </c>
      <c r="B3" s="818"/>
      <c r="C3" s="819" t="s">
        <v>355</v>
      </c>
      <c r="D3" s="819"/>
      <c r="E3" s="819" t="s">
        <v>356</v>
      </c>
      <c r="F3" s="819"/>
      <c r="G3" s="819"/>
    </row>
    <row r="4" spans="1:7" x14ac:dyDescent="0.2">
      <c r="A4" s="818"/>
      <c r="B4" s="818"/>
      <c r="C4" s="819"/>
      <c r="D4" s="819"/>
      <c r="E4" s="819"/>
      <c r="F4" s="819"/>
      <c r="G4" s="819"/>
    </row>
    <row r="5" spans="1:7" x14ac:dyDescent="0.2">
      <c r="A5" s="818"/>
      <c r="B5" s="818"/>
      <c r="C5" s="819"/>
      <c r="D5" s="819"/>
      <c r="E5" s="819"/>
      <c r="F5" s="819"/>
      <c r="G5" s="819"/>
    </row>
    <row r="6" spans="1:7" x14ac:dyDescent="0.2">
      <c r="A6" s="818"/>
      <c r="B6" s="818"/>
      <c r="C6" s="819"/>
      <c r="D6" s="819"/>
      <c r="E6" s="819"/>
      <c r="F6" s="819"/>
      <c r="G6" s="819"/>
    </row>
    <row r="7" spans="1:7" x14ac:dyDescent="0.2">
      <c r="A7" s="818"/>
      <c r="B7" s="818"/>
      <c r="C7" s="819"/>
      <c r="D7" s="819"/>
      <c r="E7" s="819"/>
      <c r="F7" s="819"/>
      <c r="G7" s="819"/>
    </row>
    <row r="8" spans="1:7" x14ac:dyDescent="0.2">
      <c r="A8" s="93"/>
      <c r="B8" s="93"/>
      <c r="C8" s="93"/>
      <c r="D8" s="93"/>
      <c r="E8" s="93"/>
      <c r="F8" s="93"/>
      <c r="G8" s="93"/>
    </row>
    <row r="9" spans="1:7" ht="45" x14ac:dyDescent="0.2">
      <c r="A9" s="820" t="s">
        <v>21</v>
      </c>
      <c r="B9" s="820"/>
      <c r="C9" s="820"/>
      <c r="D9" s="183" t="s">
        <v>381</v>
      </c>
      <c r="E9" s="208" t="s">
        <v>382</v>
      </c>
      <c r="F9" s="208" t="s">
        <v>383</v>
      </c>
      <c r="G9" s="208" t="s">
        <v>384</v>
      </c>
    </row>
    <row r="10" spans="1:7" x14ac:dyDescent="0.2">
      <c r="A10" s="820">
        <v>0</v>
      </c>
      <c r="B10" s="820"/>
      <c r="C10" s="820"/>
      <c r="D10" s="209">
        <v>1</v>
      </c>
      <c r="E10" s="208">
        <v>2</v>
      </c>
      <c r="F10" s="208">
        <v>3</v>
      </c>
      <c r="G10" s="208">
        <v>4</v>
      </c>
    </row>
    <row r="11" spans="1:7" x14ac:dyDescent="0.2">
      <c r="A11" s="818" t="s">
        <v>357</v>
      </c>
      <c r="B11" s="818"/>
      <c r="C11" s="85" t="s">
        <v>27</v>
      </c>
      <c r="D11" s="210"/>
      <c r="E11" s="211"/>
      <c r="F11" s="211"/>
      <c r="G11" s="211"/>
    </row>
    <row r="12" spans="1:7" x14ac:dyDescent="0.2">
      <c r="A12" s="809" t="s">
        <v>2</v>
      </c>
      <c r="B12" s="810"/>
      <c r="C12" s="85" t="s">
        <v>28</v>
      </c>
      <c r="D12" s="210"/>
      <c r="E12" s="212"/>
      <c r="F12" s="212"/>
      <c r="G12" s="211"/>
    </row>
    <row r="13" spans="1:7" x14ac:dyDescent="0.2">
      <c r="A13" s="809" t="s">
        <v>358</v>
      </c>
      <c r="B13" s="810"/>
      <c r="C13" s="85" t="s">
        <v>29</v>
      </c>
      <c r="D13" s="210"/>
      <c r="E13" s="212"/>
      <c r="F13" s="212"/>
      <c r="G13" s="211"/>
    </row>
    <row r="14" spans="1:7" x14ac:dyDescent="0.2">
      <c r="A14" s="809" t="s">
        <v>359</v>
      </c>
      <c r="B14" s="810"/>
      <c r="C14" s="85" t="s">
        <v>30</v>
      </c>
      <c r="D14" s="210"/>
      <c r="E14" s="212"/>
      <c r="F14" s="212"/>
      <c r="G14" s="211"/>
    </row>
    <row r="15" spans="1:7" x14ac:dyDescent="0.2">
      <c r="A15" s="809" t="s">
        <v>360</v>
      </c>
      <c r="B15" s="810"/>
      <c r="C15" s="85" t="s">
        <v>31</v>
      </c>
      <c r="D15" s="210"/>
      <c r="E15" s="212"/>
      <c r="F15" s="212"/>
      <c r="G15" s="211"/>
    </row>
    <row r="16" spans="1:7" x14ac:dyDescent="0.2">
      <c r="A16" s="809" t="s">
        <v>361</v>
      </c>
      <c r="B16" s="810"/>
      <c r="C16" s="85" t="s">
        <v>32</v>
      </c>
      <c r="D16" s="210"/>
      <c r="E16" s="212"/>
      <c r="F16" s="212"/>
      <c r="G16" s="211"/>
    </row>
    <row r="17" spans="1:7" x14ac:dyDescent="0.2">
      <c r="A17" s="809" t="s">
        <v>1</v>
      </c>
      <c r="B17" s="810"/>
      <c r="C17" s="85" t="s">
        <v>33</v>
      </c>
      <c r="D17" s="210"/>
      <c r="E17" s="212"/>
      <c r="F17" s="212"/>
      <c r="G17" s="211"/>
    </row>
    <row r="18" spans="1:7" x14ac:dyDescent="0.2">
      <c r="A18" s="809" t="s">
        <v>3</v>
      </c>
      <c r="B18" s="810"/>
      <c r="C18" s="85" t="s">
        <v>34</v>
      </c>
      <c r="D18" s="210"/>
      <c r="E18" s="212"/>
      <c r="F18" s="212"/>
      <c r="G18" s="211"/>
    </row>
    <row r="19" spans="1:7" x14ac:dyDescent="0.2">
      <c r="A19" s="815" t="s">
        <v>4</v>
      </c>
      <c r="B19" s="816"/>
      <c r="C19" s="85" t="s">
        <v>35</v>
      </c>
      <c r="D19" s="210"/>
      <c r="E19" s="212"/>
      <c r="F19" s="212"/>
      <c r="G19" s="211"/>
    </row>
    <row r="20" spans="1:7" x14ac:dyDescent="0.2">
      <c r="A20" s="813" t="s">
        <v>362</v>
      </c>
      <c r="B20" s="814"/>
      <c r="C20" s="85" t="s">
        <v>36</v>
      </c>
      <c r="D20" s="210"/>
      <c r="E20" s="212"/>
      <c r="F20" s="212"/>
      <c r="G20" s="211"/>
    </row>
    <row r="21" spans="1:7" x14ac:dyDescent="0.2">
      <c r="A21" s="809" t="s">
        <v>363</v>
      </c>
      <c r="B21" s="810"/>
      <c r="C21" s="85" t="s">
        <v>37</v>
      </c>
      <c r="D21" s="210"/>
      <c r="E21" s="212"/>
      <c r="F21" s="212"/>
      <c r="G21" s="211"/>
    </row>
    <row r="22" spans="1:7" x14ac:dyDescent="0.2">
      <c r="A22" s="809" t="s">
        <v>364</v>
      </c>
      <c r="B22" s="810"/>
      <c r="C22" s="85" t="s">
        <v>26</v>
      </c>
      <c r="D22" s="210"/>
      <c r="E22" s="212"/>
      <c r="F22" s="212"/>
      <c r="G22" s="211"/>
    </row>
    <row r="23" spans="1:7" x14ac:dyDescent="0.2">
      <c r="A23" s="813" t="s">
        <v>365</v>
      </c>
      <c r="B23" s="814"/>
      <c r="C23" s="85" t="s">
        <v>38</v>
      </c>
      <c r="D23" s="210"/>
      <c r="E23" s="212"/>
      <c r="F23" s="212"/>
      <c r="G23" s="211"/>
    </row>
    <row r="24" spans="1:7" x14ac:dyDescent="0.2">
      <c r="A24" s="813" t="s">
        <v>366</v>
      </c>
      <c r="B24" s="814"/>
      <c r="C24" s="85" t="s">
        <v>39</v>
      </c>
      <c r="D24" s="210"/>
      <c r="E24" s="212"/>
      <c r="F24" s="212"/>
      <c r="G24" s="211"/>
    </row>
    <row r="25" spans="1:7" x14ac:dyDescent="0.2">
      <c r="A25" s="809" t="s">
        <v>367</v>
      </c>
      <c r="B25" s="810"/>
      <c r="C25" s="85" t="s">
        <v>40</v>
      </c>
      <c r="D25" s="210"/>
      <c r="E25" s="212"/>
      <c r="F25" s="212"/>
      <c r="G25" s="211"/>
    </row>
    <row r="26" spans="1:7" x14ac:dyDescent="0.2">
      <c r="A26" s="809" t="s">
        <v>368</v>
      </c>
      <c r="B26" s="810"/>
      <c r="C26" s="85" t="s">
        <v>41</v>
      </c>
      <c r="D26" s="210"/>
      <c r="E26" s="212"/>
      <c r="F26" s="212"/>
      <c r="G26" s="211"/>
    </row>
    <row r="27" spans="1:7" x14ac:dyDescent="0.2">
      <c r="A27" s="813" t="s">
        <v>369</v>
      </c>
      <c r="B27" s="814"/>
      <c r="C27" s="85" t="s">
        <v>42</v>
      </c>
      <c r="D27" s="210"/>
      <c r="E27" s="212"/>
      <c r="F27" s="212"/>
      <c r="G27" s="211"/>
    </row>
    <row r="28" spans="1:7" x14ac:dyDescent="0.2">
      <c r="A28" s="813" t="s">
        <v>17</v>
      </c>
      <c r="B28" s="814"/>
      <c r="C28" s="85" t="s">
        <v>43</v>
      </c>
      <c r="D28" s="210"/>
      <c r="E28" s="212"/>
      <c r="F28" s="212"/>
      <c r="G28" s="211"/>
    </row>
    <row r="29" spans="1:7" x14ac:dyDescent="0.2">
      <c r="A29" s="811" t="s">
        <v>117</v>
      </c>
      <c r="B29" s="213" t="s">
        <v>118</v>
      </c>
      <c r="C29" s="85" t="s">
        <v>44</v>
      </c>
      <c r="D29" s="210"/>
      <c r="E29" s="212"/>
      <c r="F29" s="212"/>
      <c r="G29" s="211"/>
    </row>
    <row r="30" spans="1:7" x14ac:dyDescent="0.2">
      <c r="A30" s="812"/>
      <c r="B30" s="213" t="s">
        <v>370</v>
      </c>
      <c r="C30" s="85">
        <v>20</v>
      </c>
      <c r="D30" s="210"/>
      <c r="E30" s="212"/>
      <c r="F30" s="212"/>
      <c r="G30" s="211"/>
    </row>
    <row r="31" spans="1:7" x14ac:dyDescent="0.2">
      <c r="A31" s="809" t="s">
        <v>371</v>
      </c>
      <c r="B31" s="810"/>
      <c r="C31" s="85">
        <v>21</v>
      </c>
      <c r="D31" s="210"/>
      <c r="E31" s="212"/>
      <c r="F31" s="212"/>
      <c r="G31" s="211"/>
    </row>
    <row r="32" spans="1:7" x14ac:dyDescent="0.2">
      <c r="A32" s="813" t="s">
        <v>244</v>
      </c>
      <c r="B32" s="814"/>
      <c r="C32" s="85">
        <v>22</v>
      </c>
      <c r="D32" s="210"/>
      <c r="E32" s="212"/>
      <c r="F32" s="212"/>
      <c r="G32" s="211"/>
    </row>
    <row r="33" spans="1:7" x14ac:dyDescent="0.2">
      <c r="A33" s="813" t="s">
        <v>372</v>
      </c>
      <c r="B33" s="814"/>
      <c r="C33" s="85">
        <v>23</v>
      </c>
      <c r="D33" s="210"/>
      <c r="E33" s="212"/>
      <c r="F33" s="212"/>
      <c r="G33" s="211"/>
    </row>
    <row r="34" spans="1:7" x14ac:dyDescent="0.2">
      <c r="A34" s="813" t="s">
        <v>373</v>
      </c>
      <c r="B34" s="814"/>
      <c r="C34" s="85">
        <v>24</v>
      </c>
      <c r="D34" s="210"/>
      <c r="E34" s="212"/>
      <c r="F34" s="212"/>
      <c r="G34" s="211"/>
    </row>
    <row r="35" spans="1:7" x14ac:dyDescent="0.2">
      <c r="A35" s="813" t="s">
        <v>374</v>
      </c>
      <c r="B35" s="814"/>
      <c r="C35" s="85">
        <v>25</v>
      </c>
      <c r="D35" s="210"/>
      <c r="E35" s="212"/>
      <c r="F35" s="212"/>
      <c r="G35" s="211"/>
    </row>
    <row r="36" spans="1:7" x14ac:dyDescent="0.2">
      <c r="A36" s="809" t="s">
        <v>375</v>
      </c>
      <c r="B36" s="810"/>
      <c r="C36" s="85">
        <v>26</v>
      </c>
      <c r="D36" s="210"/>
      <c r="E36" s="212"/>
      <c r="F36" s="212"/>
      <c r="G36" s="211"/>
    </row>
    <row r="37" spans="1:7" x14ac:dyDescent="0.2">
      <c r="A37" s="809" t="s">
        <v>11</v>
      </c>
      <c r="B37" s="810"/>
      <c r="C37" s="85">
        <v>27</v>
      </c>
      <c r="D37" s="210"/>
      <c r="E37" s="212"/>
      <c r="F37" s="212"/>
      <c r="G37" s="211"/>
    </row>
    <row r="38" spans="1:7" x14ac:dyDescent="0.2">
      <c r="A38" s="809" t="s">
        <v>18</v>
      </c>
      <c r="B38" s="810"/>
      <c r="C38" s="85">
        <v>28</v>
      </c>
      <c r="D38" s="210"/>
      <c r="E38" s="212"/>
      <c r="F38" s="212"/>
      <c r="G38" s="211"/>
    </row>
    <row r="39" spans="1:7" x14ac:dyDescent="0.2">
      <c r="A39" s="813" t="s">
        <v>6</v>
      </c>
      <c r="B39" s="814"/>
      <c r="C39" s="85">
        <v>29</v>
      </c>
      <c r="D39" s="210"/>
      <c r="E39" s="212"/>
      <c r="F39" s="212"/>
      <c r="G39" s="211"/>
    </row>
    <row r="40" spans="1:7" x14ac:dyDescent="0.2">
      <c r="A40" s="809" t="s">
        <v>376</v>
      </c>
      <c r="B40" s="810"/>
      <c r="C40" s="85">
        <v>30</v>
      </c>
      <c r="D40" s="210"/>
      <c r="E40" s="212"/>
      <c r="F40" s="212"/>
      <c r="G40" s="211"/>
    </row>
    <row r="41" spans="1:7" x14ac:dyDescent="0.2">
      <c r="A41" s="809" t="s">
        <v>377</v>
      </c>
      <c r="B41" s="810"/>
      <c r="C41" s="85">
        <v>31</v>
      </c>
      <c r="D41" s="210"/>
      <c r="E41" s="212"/>
      <c r="F41" s="212"/>
      <c r="G41" s="211"/>
    </row>
    <row r="42" spans="1:7" x14ac:dyDescent="0.2">
      <c r="A42" s="803" t="s">
        <v>378</v>
      </c>
      <c r="B42" s="803"/>
      <c r="C42" s="85">
        <v>32</v>
      </c>
      <c r="D42" s="210"/>
      <c r="E42" s="212"/>
      <c r="F42" s="212"/>
      <c r="G42" s="211"/>
    </row>
    <row r="43" spans="1:7" x14ac:dyDescent="0.2">
      <c r="A43" s="804" t="s">
        <v>385</v>
      </c>
      <c r="B43" s="804"/>
      <c r="C43" s="804"/>
      <c r="D43" s="804"/>
      <c r="E43" s="804"/>
      <c r="F43" s="804"/>
      <c r="G43" s="804"/>
    </row>
    <row r="44" spans="1:7" x14ac:dyDescent="0.2">
      <c r="A44" s="805" t="s">
        <v>386</v>
      </c>
      <c r="B44" s="805"/>
      <c r="C44" s="805"/>
      <c r="D44" s="805"/>
      <c r="E44" s="805"/>
      <c r="F44" s="805"/>
      <c r="G44" s="805"/>
    </row>
    <row r="45" spans="1:7" x14ac:dyDescent="0.2">
      <c r="A45" s="806" t="s">
        <v>379</v>
      </c>
      <c r="B45" s="807"/>
      <c r="C45" s="808"/>
      <c r="D45" s="214"/>
      <c r="E45" s="215"/>
      <c r="F45" s="215"/>
      <c r="G45" s="93"/>
    </row>
    <row r="46" spans="1:7" x14ac:dyDescent="0.2">
      <c r="A46" s="806" t="s">
        <v>380</v>
      </c>
      <c r="B46" s="807"/>
      <c r="C46" s="807"/>
      <c r="D46" s="216"/>
      <c r="E46" s="215"/>
      <c r="F46" s="215"/>
      <c r="G46" s="93"/>
    </row>
    <row r="47" spans="1:7" x14ac:dyDescent="0.2">
      <c r="A47" s="93"/>
      <c r="B47" s="217" t="s">
        <v>121</v>
      </c>
      <c r="C47" s="93"/>
      <c r="D47" s="93"/>
      <c r="E47" s="217" t="s">
        <v>122</v>
      </c>
      <c r="F47" s="93"/>
      <c r="G47" s="93"/>
    </row>
    <row r="48" spans="1:7" x14ac:dyDescent="0.2">
      <c r="A48" s="93"/>
      <c r="B48" s="217" t="s">
        <v>123</v>
      </c>
      <c r="C48" s="93"/>
      <c r="D48" s="93"/>
      <c r="E48" s="217" t="s">
        <v>124</v>
      </c>
      <c r="F48" s="93"/>
      <c r="G48" s="93"/>
    </row>
    <row r="49" spans="1:7" x14ac:dyDescent="0.2">
      <c r="A49" s="93"/>
      <c r="B49" s="217" t="s">
        <v>125</v>
      </c>
      <c r="C49" s="93"/>
      <c r="D49" s="93"/>
      <c r="E49" s="93"/>
      <c r="F49" s="93"/>
      <c r="G49" s="93"/>
    </row>
  </sheetData>
  <mergeCells count="41">
    <mergeCell ref="A16:B16"/>
    <mergeCell ref="A1:G2"/>
    <mergeCell ref="A3:B7"/>
    <mergeCell ref="C3:D7"/>
    <mergeCell ref="E3:G7"/>
    <mergeCell ref="A9:C9"/>
    <mergeCell ref="A10:C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41:B41"/>
    <mergeCell ref="A29:A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2:B42"/>
    <mergeCell ref="A43:G43"/>
    <mergeCell ref="A44:G44"/>
    <mergeCell ref="A45:C45"/>
    <mergeCell ref="A46:C46"/>
  </mergeCells>
  <pageMargins left="0.7" right="0.7" top="0.75" bottom="0.75" header="0.3" footer="0.3"/>
  <pageSetup paperSize="9" orientation="portrait" r:id="rId1"/>
  <ignoredErrors>
    <ignoredError sqref="C11:C29" numberStoredAsText="1"/>
  </ignoredError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81F07-9C14-491D-A1DB-F84E9D4DCDEB}">
  <sheetPr>
    <tabColor theme="4" tint="0.59999389629810485"/>
  </sheetPr>
  <dimension ref="A1"/>
  <sheetViews>
    <sheetView zoomScale="80" zoomScaleNormal="80" workbookViewId="0"/>
  </sheetViews>
  <sheetFormatPr defaultRowHeight="15" x14ac:dyDescent="0.25"/>
  <cols>
    <col min="1" max="16384" width="9.140625" style="3"/>
  </cols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B1:K40"/>
  <sheetViews>
    <sheetView zoomScale="80" zoomScaleNormal="80" workbookViewId="0">
      <selection activeCell="B1" sqref="B1"/>
    </sheetView>
  </sheetViews>
  <sheetFormatPr defaultRowHeight="14.25" x14ac:dyDescent="0.2"/>
  <cols>
    <col min="1" max="1" width="1.7109375" style="44" customWidth="1"/>
    <col min="2" max="2" width="5.5703125" style="44" customWidth="1"/>
    <col min="3" max="3" width="65.85546875" style="44" customWidth="1"/>
    <col min="4" max="4" width="10.85546875" style="44" customWidth="1"/>
    <col min="5" max="5" width="10.42578125" style="44" customWidth="1"/>
    <col min="6" max="6" width="10.140625" style="44" customWidth="1"/>
    <col min="7" max="7" width="15.140625" style="44" customWidth="1"/>
    <col min="8" max="8" width="14.42578125" style="44" customWidth="1"/>
    <col min="9" max="9" width="12.28515625" style="44" customWidth="1"/>
    <col min="10" max="10" width="13.5703125" style="44" customWidth="1"/>
    <col min="11" max="11" width="12.28515625" style="44" customWidth="1"/>
    <col min="12" max="12" width="3.140625" style="44" customWidth="1"/>
    <col min="13" max="16384" width="9.140625" style="44"/>
  </cols>
  <sheetData>
    <row r="1" spans="2:11" x14ac:dyDescent="0.2">
      <c r="B1" s="96" t="s">
        <v>258</v>
      </c>
      <c r="D1" s="45"/>
      <c r="E1" s="45"/>
      <c r="F1" s="45"/>
      <c r="G1" s="382" t="s">
        <v>250</v>
      </c>
      <c r="H1" s="383" t="s">
        <v>248</v>
      </c>
      <c r="I1" s="45"/>
      <c r="J1" s="45"/>
      <c r="K1" s="45"/>
    </row>
    <row r="2" spans="2:11" x14ac:dyDescent="0.2">
      <c r="B2" s="363"/>
      <c r="C2" s="763" t="s">
        <v>296</v>
      </c>
      <c r="D2" s="358"/>
      <c r="E2" s="358"/>
      <c r="F2" s="358"/>
      <c r="G2" s="359"/>
      <c r="H2" s="358"/>
      <c r="I2" s="358"/>
      <c r="J2" s="358"/>
      <c r="K2" s="359"/>
    </row>
    <row r="3" spans="2:11" ht="66" customHeight="1" x14ac:dyDescent="0.2">
      <c r="B3" s="356"/>
      <c r="C3" s="764"/>
      <c r="D3" s="357" t="s">
        <v>102</v>
      </c>
      <c r="E3" s="357" t="s">
        <v>103</v>
      </c>
      <c r="F3" s="357" t="s">
        <v>104</v>
      </c>
      <c r="G3" s="366" t="s">
        <v>105</v>
      </c>
      <c r="H3" s="357" t="s">
        <v>227</v>
      </c>
      <c r="I3" s="357" t="s">
        <v>158</v>
      </c>
      <c r="J3" s="384" t="s">
        <v>177</v>
      </c>
      <c r="K3" s="360" t="s">
        <v>176</v>
      </c>
    </row>
    <row r="4" spans="2:11" ht="36" x14ac:dyDescent="0.2">
      <c r="B4" s="364" t="s">
        <v>100</v>
      </c>
      <c r="C4" s="764"/>
      <c r="D4" s="357"/>
      <c r="E4" s="357"/>
      <c r="F4" s="357"/>
      <c r="G4" s="360" t="s">
        <v>226</v>
      </c>
      <c r="H4" s="357" t="s">
        <v>225</v>
      </c>
      <c r="I4" s="357"/>
      <c r="J4" s="364"/>
      <c r="K4" s="357" t="s">
        <v>225</v>
      </c>
    </row>
    <row r="5" spans="2:11" x14ac:dyDescent="0.2">
      <c r="B5" s="365"/>
      <c r="C5" s="765"/>
      <c r="D5" s="361"/>
      <c r="E5" s="361"/>
      <c r="F5" s="361"/>
      <c r="G5" s="362"/>
      <c r="H5" s="361"/>
      <c r="I5" s="361"/>
      <c r="J5" s="361"/>
      <c r="K5" s="362"/>
    </row>
    <row r="6" spans="2:11" x14ac:dyDescent="0.2">
      <c r="B6" s="371">
        <v>1</v>
      </c>
      <c r="C6" s="373" t="s">
        <v>2</v>
      </c>
      <c r="D6" s="51">
        <f>SUM('z19'!F6)</f>
        <v>1467</v>
      </c>
      <c r="E6" s="51">
        <f>SUM('z19'!G6)</f>
        <v>1392</v>
      </c>
      <c r="F6" s="51">
        <f>SUM('z19'!H6)</f>
        <v>1046</v>
      </c>
      <c r="G6" s="370">
        <f>SUM(F6/E6)*100</f>
        <v>75.143678160919535</v>
      </c>
      <c r="H6" s="374">
        <f>SUM(J6/F6)</f>
        <v>4002.5812619502867</v>
      </c>
      <c r="I6" s="374">
        <f>SUM('z19'!E6)</f>
        <v>4186.7</v>
      </c>
      <c r="J6" s="51">
        <f>SUM(I6*1000)</f>
        <v>4186700</v>
      </c>
      <c r="K6" s="370">
        <f>SUM(J6/D6)</f>
        <v>2853.9195637355147</v>
      </c>
    </row>
    <row r="7" spans="2:11" x14ac:dyDescent="0.2">
      <c r="B7" s="125">
        <v>2</v>
      </c>
      <c r="C7" s="338" t="s">
        <v>1</v>
      </c>
      <c r="D7" s="46">
        <f>SUM('z19'!F5)</f>
        <v>10471</v>
      </c>
      <c r="E7" s="46">
        <f>SUM('z19'!G5)</f>
        <v>7126</v>
      </c>
      <c r="F7" s="46">
        <f>SUM('z19'!H5)</f>
        <v>6071</v>
      </c>
      <c r="G7" s="326">
        <f t="shared" ref="G7:G11" si="0">SUM(F7/E7)*100</f>
        <v>85.195060342408084</v>
      </c>
      <c r="H7" s="126">
        <f t="shared" ref="H7:H8" si="1">SUM(J7/F7)</f>
        <v>8663.0373908746496</v>
      </c>
      <c r="I7" s="126">
        <f>SUM('z19'!E5)</f>
        <v>52593.3</v>
      </c>
      <c r="J7" s="46">
        <f t="shared" ref="J7:J11" si="2">SUM(I7*1000)</f>
        <v>52593300</v>
      </c>
      <c r="K7" s="326">
        <f>SUM(J7/D7)</f>
        <v>5022.7580937828288</v>
      </c>
    </row>
    <row r="8" spans="2:11" x14ac:dyDescent="0.2">
      <c r="B8" s="125">
        <v>3</v>
      </c>
      <c r="C8" s="338" t="s">
        <v>3</v>
      </c>
      <c r="D8" s="46">
        <f>SUM('z19'!F7)</f>
        <v>5002</v>
      </c>
      <c r="E8" s="46">
        <f>SUM('z19'!G7)</f>
        <v>3365</v>
      </c>
      <c r="F8" s="46">
        <f>SUM('z19'!H7)</f>
        <v>3148</v>
      </c>
      <c r="G8" s="326">
        <f t="shared" si="0"/>
        <v>93.551263001485879</v>
      </c>
      <c r="H8" s="126">
        <f t="shared" si="1"/>
        <v>5964.7395171537482</v>
      </c>
      <c r="I8" s="126">
        <f>SUM('z19'!E7)</f>
        <v>18777</v>
      </c>
      <c r="J8" s="46">
        <f t="shared" si="2"/>
        <v>18777000</v>
      </c>
      <c r="K8" s="326">
        <f>SUM(J8/D8)</f>
        <v>3753.8984406237505</v>
      </c>
    </row>
    <row r="9" spans="2:11" x14ac:dyDescent="0.2">
      <c r="B9" s="125">
        <v>4</v>
      </c>
      <c r="C9" s="338" t="s">
        <v>4</v>
      </c>
      <c r="D9" s="46">
        <f>SUM('z19'!F8)</f>
        <v>1649</v>
      </c>
      <c r="E9" s="46">
        <f>SUM('z19'!G8)</f>
        <v>1412</v>
      </c>
      <c r="F9" s="46">
        <f>SUM('z19'!H8)</f>
        <v>1334</v>
      </c>
      <c r="G9" s="326">
        <f t="shared" si="0"/>
        <v>94.475920679886684</v>
      </c>
      <c r="H9" s="126">
        <f t="shared" ref="H9:H14" si="3">SUM(J9/F9)</f>
        <v>11255.547226386807</v>
      </c>
      <c r="I9" s="126">
        <f>SUM('z19'!E8)</f>
        <v>15014.9</v>
      </c>
      <c r="J9" s="46">
        <f t="shared" si="2"/>
        <v>15014900</v>
      </c>
      <c r="K9" s="326">
        <f t="shared" ref="K9:K11" si="4">SUM(J9/D9)</f>
        <v>9105.4578532443902</v>
      </c>
    </row>
    <row r="10" spans="2:11" x14ac:dyDescent="0.2">
      <c r="B10" s="125">
        <v>5</v>
      </c>
      <c r="C10" s="338" t="s">
        <v>56</v>
      </c>
      <c r="D10" s="46">
        <f>SUM('z19'!F22)</f>
        <v>2155</v>
      </c>
      <c r="E10" s="46">
        <f>SUM('z19'!G22)</f>
        <v>2471</v>
      </c>
      <c r="F10" s="46">
        <f>SUM('z19'!H22)</f>
        <v>2404</v>
      </c>
      <c r="G10" s="326">
        <f t="shared" si="0"/>
        <v>97.288547146904094</v>
      </c>
      <c r="H10" s="126">
        <f t="shared" si="3"/>
        <v>18290.848585690517</v>
      </c>
      <c r="I10" s="126">
        <f>SUM('z19'!E22)</f>
        <v>43971.199999999997</v>
      </c>
      <c r="J10" s="46">
        <f t="shared" si="2"/>
        <v>43971200</v>
      </c>
      <c r="K10" s="326">
        <f t="shared" si="4"/>
        <v>20404.269141531324</v>
      </c>
    </row>
    <row r="11" spans="2:11" ht="15" customHeight="1" x14ac:dyDescent="0.2">
      <c r="B11" s="333">
        <v>6</v>
      </c>
      <c r="C11" s="339" t="s">
        <v>57</v>
      </c>
      <c r="D11" s="52">
        <f>SUM('z19'!F24)</f>
        <v>1565</v>
      </c>
      <c r="E11" s="52">
        <f>SUM('z19'!G24)</f>
        <v>2198</v>
      </c>
      <c r="F11" s="52">
        <f>SUM('z19'!H24)</f>
        <v>2012</v>
      </c>
      <c r="G11" s="329">
        <f t="shared" si="0"/>
        <v>91.53776160145587</v>
      </c>
      <c r="H11" s="354">
        <f t="shared" si="3"/>
        <v>16204.87077534791</v>
      </c>
      <c r="I11" s="354">
        <f>SUM('z19'!E24)</f>
        <v>32604.199999999997</v>
      </c>
      <c r="J11" s="52">
        <f t="shared" si="2"/>
        <v>32604199.999999996</v>
      </c>
      <c r="K11" s="329">
        <f t="shared" si="4"/>
        <v>20833.354632587856</v>
      </c>
    </row>
    <row r="12" spans="2:11" ht="15" customHeight="1" x14ac:dyDescent="0.2">
      <c r="B12" s="333">
        <v>7</v>
      </c>
      <c r="C12" s="339" t="s">
        <v>11</v>
      </c>
      <c r="D12" s="52">
        <f>SUM('z19'!F17)</f>
        <v>1464</v>
      </c>
      <c r="E12" s="52">
        <f>SUM('z19'!G17)</f>
        <v>1298</v>
      </c>
      <c r="F12" s="52">
        <f>SUM('z19'!H17)</f>
        <v>1197</v>
      </c>
      <c r="G12" s="329">
        <f>SUM(F12/E12)*100</f>
        <v>92.218798151001536</v>
      </c>
      <c r="H12" s="354">
        <f t="shared" si="3"/>
        <v>9156.4745196324166</v>
      </c>
      <c r="I12" s="354">
        <f>SUM('z19'!E17)</f>
        <v>10960.300000000001</v>
      </c>
      <c r="J12" s="52">
        <f>SUM(I12*1000)</f>
        <v>10960300.000000002</v>
      </c>
      <c r="K12" s="329">
        <f>SUM(J12/D12)</f>
        <v>7486.5437158469958</v>
      </c>
    </row>
    <row r="13" spans="2:11" x14ac:dyDescent="0.2">
      <c r="B13" s="376">
        <v>8</v>
      </c>
      <c r="C13" s="377" t="s">
        <v>280</v>
      </c>
      <c r="D13" s="378">
        <f>SUM(D6:D11)</f>
        <v>22309</v>
      </c>
      <c r="E13" s="378">
        <f>SUM(E6:E11)</f>
        <v>17964</v>
      </c>
      <c r="F13" s="378">
        <f>SUM(F6:F11)</f>
        <v>16015</v>
      </c>
      <c r="G13" s="381">
        <f>SUM(F13/E13)*100</f>
        <v>89.150523268759741</v>
      </c>
      <c r="H13" s="379">
        <f t="shared" si="3"/>
        <v>10436.921635966282</v>
      </c>
      <c r="I13" s="379">
        <f>SUM(I6:I11)</f>
        <v>167147.29999999999</v>
      </c>
      <c r="J13" s="378">
        <f>SUM(I13*1000)</f>
        <v>167147300</v>
      </c>
      <c r="K13" s="381">
        <f>SUM(J13/D13)</f>
        <v>7492.3707920570178</v>
      </c>
    </row>
    <row r="14" spans="2:11" x14ac:dyDescent="0.2">
      <c r="B14" s="335">
        <v>9</v>
      </c>
      <c r="C14" s="338" t="s">
        <v>284</v>
      </c>
      <c r="D14" s="46">
        <f>SUM(D6:D12)</f>
        <v>23773</v>
      </c>
      <c r="E14" s="46">
        <f>SUM(E6:E12)</f>
        <v>19262</v>
      </c>
      <c r="F14" s="46">
        <f>SUM(F6:F12)</f>
        <v>17212</v>
      </c>
      <c r="G14" s="326">
        <f>SUM(F14/E14)*100</f>
        <v>89.357283771155636</v>
      </c>
      <c r="H14" s="126">
        <f t="shared" si="3"/>
        <v>10347.87357657448</v>
      </c>
      <c r="I14" s="126">
        <f>SUM(I6:I12)</f>
        <v>178107.59999999998</v>
      </c>
      <c r="J14" s="46">
        <f>SUM(I14*1000)</f>
        <v>178107599.99999997</v>
      </c>
      <c r="K14" s="326">
        <f>SUM(J14/D14)</f>
        <v>7492.0119463256624</v>
      </c>
    </row>
    <row r="16" spans="2:11" ht="15" x14ac:dyDescent="0.2">
      <c r="D16" s="473">
        <v>77343</v>
      </c>
      <c r="I16" s="49"/>
      <c r="J16" s="48"/>
    </row>
    <row r="17" spans="4:10" x14ac:dyDescent="0.2">
      <c r="D17" s="94">
        <f>SUM(D13)/D16*100</f>
        <v>28.844239297673997</v>
      </c>
      <c r="I17" s="49"/>
      <c r="J17" s="50"/>
    </row>
    <row r="18" spans="4:10" x14ac:dyDescent="0.2">
      <c r="D18" s="94">
        <f>SUM(D6:D11)</f>
        <v>22309</v>
      </c>
      <c r="I18" s="50"/>
      <c r="J18" s="55"/>
    </row>
    <row r="19" spans="4:10" ht="12" customHeight="1" x14ac:dyDescent="0.2">
      <c r="D19" s="94">
        <f>SUM(E6:E11)</f>
        <v>17964</v>
      </c>
      <c r="I19" s="50"/>
      <c r="J19" s="55"/>
    </row>
    <row r="20" spans="4:10" x14ac:dyDescent="0.2">
      <c r="D20" s="94">
        <f>SUM(D19)/D18*100</f>
        <v>80.523555515711138</v>
      </c>
      <c r="G20" s="47"/>
      <c r="I20" s="50"/>
      <c r="J20" s="55"/>
    </row>
    <row r="21" spans="4:10" x14ac:dyDescent="0.2">
      <c r="D21" s="94">
        <f>SUM(D7)/D13*100</f>
        <v>46.936214084001968</v>
      </c>
      <c r="G21" s="47"/>
      <c r="I21" s="50"/>
      <c r="J21" s="55"/>
    </row>
    <row r="22" spans="4:10" ht="16.5" customHeight="1" x14ac:dyDescent="0.2">
      <c r="G22" s="47"/>
      <c r="I22" s="50"/>
      <c r="J22" s="55"/>
    </row>
    <row r="23" spans="4:10" ht="15" customHeight="1" x14ac:dyDescent="0.2">
      <c r="F23" s="47"/>
      <c r="G23" s="47"/>
      <c r="I23" s="50"/>
      <c r="J23" s="55"/>
    </row>
    <row r="24" spans="4:10" ht="15" customHeight="1" x14ac:dyDescent="0.2">
      <c r="G24" s="47"/>
    </row>
    <row r="25" spans="4:10" ht="18.75" customHeight="1" x14ac:dyDescent="0.2">
      <c r="G25" s="47"/>
    </row>
    <row r="26" spans="4:10" ht="15.75" customHeight="1" x14ac:dyDescent="0.2">
      <c r="G26" s="47"/>
    </row>
    <row r="27" spans="4:10" ht="18" customHeight="1" x14ac:dyDescent="0.2"/>
    <row r="28" spans="4:10" ht="15" customHeight="1" x14ac:dyDescent="0.2"/>
    <row r="33" ht="63" customHeight="1" x14ac:dyDescent="0.2"/>
    <row r="36" ht="15" customHeight="1" x14ac:dyDescent="0.2"/>
    <row r="37" ht="18.75" customHeight="1" x14ac:dyDescent="0.2"/>
    <row r="38" ht="15.75" customHeight="1" x14ac:dyDescent="0.2"/>
    <row r="39" ht="14.25" customHeight="1" x14ac:dyDescent="0.2"/>
    <row r="40" ht="12" customHeight="1" x14ac:dyDescent="0.2"/>
  </sheetData>
  <mergeCells count="1">
    <mergeCell ref="C2:C5"/>
  </mergeCells>
  <pageMargins left="0.7" right="0.7" top="0.75" bottom="0.75" header="0.3" footer="0.3"/>
  <pageSetup paperSize="9" scale="78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theme="4" tint="0.59999389629810485"/>
  </sheetPr>
  <dimension ref="A1:H48"/>
  <sheetViews>
    <sheetView zoomScale="80" zoomScaleNormal="80" workbookViewId="0"/>
  </sheetViews>
  <sheetFormatPr defaultRowHeight="11.25" x14ac:dyDescent="0.2"/>
  <cols>
    <col min="1" max="1" width="9.140625" style="82"/>
    <col min="2" max="2" width="59.85546875" style="82" customWidth="1"/>
    <col min="3" max="3" width="10.85546875" style="82" customWidth="1"/>
    <col min="4" max="4" width="8.5703125" style="82" customWidth="1"/>
    <col min="5" max="5" width="3.7109375" style="82" customWidth="1"/>
    <col min="6" max="6" width="13.28515625" style="82" customWidth="1"/>
    <col min="7" max="7" width="13.7109375" style="82" customWidth="1"/>
    <col min="8" max="8" width="10.85546875" style="82" customWidth="1"/>
    <col min="9" max="16384" width="9.140625" style="82"/>
  </cols>
  <sheetData>
    <row r="1" spans="1:8" ht="18.75" customHeight="1" x14ac:dyDescent="0.2"/>
    <row r="2" spans="1:8" x14ac:dyDescent="0.2">
      <c r="A2" s="839" t="s">
        <v>273</v>
      </c>
      <c r="B2" s="840"/>
      <c r="C2" s="840"/>
      <c r="D2" s="840"/>
      <c r="E2" s="840"/>
      <c r="F2" s="840"/>
      <c r="G2" s="840"/>
      <c r="H2" s="841"/>
    </row>
    <row r="3" spans="1:8" x14ac:dyDescent="0.2">
      <c r="A3" s="842"/>
      <c r="B3" s="843"/>
      <c r="C3" s="843"/>
      <c r="D3" s="843"/>
      <c r="E3" s="843"/>
      <c r="F3" s="843"/>
      <c r="G3" s="843"/>
      <c r="H3" s="844"/>
    </row>
    <row r="4" spans="1:8" x14ac:dyDescent="0.2">
      <c r="A4" s="845" t="s">
        <v>349</v>
      </c>
      <c r="B4" s="845"/>
      <c r="C4" s="846" t="s">
        <v>264</v>
      </c>
      <c r="D4" s="847"/>
      <c r="E4" s="848"/>
      <c r="F4" s="838" t="s">
        <v>265</v>
      </c>
      <c r="G4" s="838"/>
      <c r="H4" s="838"/>
    </row>
    <row r="5" spans="1:8" x14ac:dyDescent="0.2">
      <c r="A5" s="845"/>
      <c r="B5" s="845"/>
      <c r="C5" s="849"/>
      <c r="D5" s="850"/>
      <c r="E5" s="851"/>
      <c r="F5" s="838"/>
      <c r="G5" s="838"/>
      <c r="H5" s="838"/>
    </row>
    <row r="6" spans="1:8" x14ac:dyDescent="0.2">
      <c r="A6" s="845"/>
      <c r="B6" s="845"/>
      <c r="C6" s="849"/>
      <c r="D6" s="850"/>
      <c r="E6" s="851"/>
      <c r="F6" s="838"/>
      <c r="G6" s="838"/>
      <c r="H6" s="838"/>
    </row>
    <row r="7" spans="1:8" x14ac:dyDescent="0.2">
      <c r="A7" s="845"/>
      <c r="B7" s="845"/>
      <c r="C7" s="849"/>
      <c r="D7" s="850"/>
      <c r="E7" s="851"/>
      <c r="F7" s="838"/>
      <c r="G7" s="838"/>
      <c r="H7" s="838"/>
    </row>
    <row r="8" spans="1:8" ht="41.25" customHeight="1" x14ac:dyDescent="0.2">
      <c r="A8" s="845"/>
      <c r="B8" s="845"/>
      <c r="C8" s="852"/>
      <c r="D8" s="853"/>
      <c r="E8" s="854"/>
      <c r="F8" s="838"/>
      <c r="G8" s="838"/>
      <c r="H8" s="838"/>
    </row>
    <row r="9" spans="1:8" x14ac:dyDescent="0.2">
      <c r="A9" s="84"/>
      <c r="B9" s="84"/>
      <c r="C9" s="84"/>
      <c r="D9" s="84"/>
      <c r="E9" s="84"/>
      <c r="F9" s="84"/>
      <c r="G9" s="84"/>
      <c r="H9" s="84"/>
    </row>
    <row r="10" spans="1:8" x14ac:dyDescent="0.2">
      <c r="A10" s="178"/>
      <c r="B10" s="178"/>
      <c r="C10" s="178"/>
      <c r="D10" s="178"/>
      <c r="E10" s="178"/>
      <c r="F10" s="178"/>
      <c r="G10" s="178"/>
      <c r="H10" s="178"/>
    </row>
    <row r="11" spans="1:8" ht="52.5" customHeight="1" x14ac:dyDescent="0.2">
      <c r="A11" s="819" t="s">
        <v>21</v>
      </c>
      <c r="B11" s="819"/>
      <c r="C11" s="819"/>
      <c r="D11" s="827" t="s">
        <v>266</v>
      </c>
      <c r="E11" s="828"/>
      <c r="F11" s="139" t="s">
        <v>267</v>
      </c>
      <c r="G11" s="139" t="s">
        <v>268</v>
      </c>
      <c r="H11" s="139" t="s">
        <v>269</v>
      </c>
    </row>
    <row r="12" spans="1:8" x14ac:dyDescent="0.2">
      <c r="A12" s="819">
        <v>0</v>
      </c>
      <c r="B12" s="819"/>
      <c r="C12" s="819"/>
      <c r="D12" s="827">
        <v>1</v>
      </c>
      <c r="E12" s="828"/>
      <c r="F12" s="139">
        <v>2</v>
      </c>
      <c r="G12" s="139">
        <v>3</v>
      </c>
      <c r="H12" s="139">
        <v>4</v>
      </c>
    </row>
    <row r="13" spans="1:8" x14ac:dyDescent="0.2">
      <c r="A13" s="818" t="s">
        <v>350</v>
      </c>
      <c r="B13" s="818"/>
      <c r="C13" s="85" t="s">
        <v>27</v>
      </c>
      <c r="D13" s="827"/>
      <c r="E13" s="828"/>
      <c r="F13" s="139"/>
      <c r="G13" s="139"/>
      <c r="H13" s="139"/>
    </row>
    <row r="14" spans="1:8" x14ac:dyDescent="0.2">
      <c r="A14" s="832" t="s">
        <v>114</v>
      </c>
      <c r="B14" s="832"/>
      <c r="C14" s="152" t="s">
        <v>28</v>
      </c>
      <c r="D14" s="833"/>
      <c r="E14" s="834"/>
      <c r="F14" s="153"/>
      <c r="G14" s="153"/>
      <c r="H14" s="154"/>
    </row>
    <row r="15" spans="1:8" x14ac:dyDescent="0.2">
      <c r="A15" s="836" t="s">
        <v>2</v>
      </c>
      <c r="B15" s="836"/>
      <c r="C15" s="152" t="s">
        <v>29</v>
      </c>
      <c r="D15" s="833"/>
      <c r="E15" s="834"/>
      <c r="F15" s="153"/>
      <c r="G15" s="153"/>
      <c r="H15" s="154"/>
    </row>
    <row r="16" spans="1:8" x14ac:dyDescent="0.2">
      <c r="A16" s="836" t="s">
        <v>3</v>
      </c>
      <c r="B16" s="836"/>
      <c r="C16" s="152" t="s">
        <v>30</v>
      </c>
      <c r="D16" s="833"/>
      <c r="E16" s="834"/>
      <c r="F16" s="153"/>
      <c r="G16" s="153"/>
      <c r="H16" s="154"/>
    </row>
    <row r="17" spans="1:8" x14ac:dyDescent="0.2">
      <c r="A17" s="838" t="s">
        <v>4</v>
      </c>
      <c r="B17" s="838"/>
      <c r="C17" s="152" t="s">
        <v>31</v>
      </c>
      <c r="D17" s="833"/>
      <c r="E17" s="834"/>
      <c r="F17" s="153"/>
      <c r="G17" s="153"/>
      <c r="H17" s="154"/>
    </row>
    <row r="18" spans="1:8" x14ac:dyDescent="0.2">
      <c r="A18" s="818" t="s">
        <v>5</v>
      </c>
      <c r="B18" s="818"/>
      <c r="C18" s="85" t="s">
        <v>32</v>
      </c>
      <c r="D18" s="827"/>
      <c r="E18" s="828"/>
      <c r="F18" s="86"/>
      <c r="G18" s="86"/>
      <c r="H18" s="139"/>
    </row>
    <row r="19" spans="1:8" x14ac:dyDescent="0.2">
      <c r="A19" s="818" t="s">
        <v>115</v>
      </c>
      <c r="B19" s="818"/>
      <c r="C19" s="85" t="s">
        <v>33</v>
      </c>
      <c r="D19" s="827"/>
      <c r="E19" s="828"/>
      <c r="F19" s="86"/>
      <c r="G19" s="86"/>
      <c r="H19" s="139"/>
    </row>
    <row r="20" spans="1:8" x14ac:dyDescent="0.2">
      <c r="A20" s="818" t="s">
        <v>6</v>
      </c>
      <c r="B20" s="818"/>
      <c r="C20" s="85" t="s">
        <v>34</v>
      </c>
      <c r="D20" s="827"/>
      <c r="E20" s="828"/>
      <c r="F20" s="86"/>
      <c r="G20" s="86"/>
      <c r="H20" s="139"/>
    </row>
    <row r="21" spans="1:8" x14ac:dyDescent="0.2">
      <c r="A21" s="818" t="s">
        <v>7</v>
      </c>
      <c r="B21" s="818"/>
      <c r="C21" s="85" t="s">
        <v>35</v>
      </c>
      <c r="D21" s="827"/>
      <c r="E21" s="828"/>
      <c r="F21" s="86"/>
      <c r="G21" s="86"/>
      <c r="H21" s="139"/>
    </row>
    <row r="22" spans="1:8" x14ac:dyDescent="0.2">
      <c r="A22" s="831" t="s">
        <v>8</v>
      </c>
      <c r="B22" s="831"/>
      <c r="C22" s="85" t="s">
        <v>36</v>
      </c>
      <c r="D22" s="827"/>
      <c r="E22" s="828"/>
      <c r="F22" s="86"/>
      <c r="G22" s="86"/>
      <c r="H22" s="139"/>
    </row>
    <row r="23" spans="1:8" x14ac:dyDescent="0.2">
      <c r="A23" s="837" t="s">
        <v>116</v>
      </c>
      <c r="B23" s="837"/>
      <c r="C23" s="85" t="s">
        <v>37</v>
      </c>
      <c r="D23" s="827"/>
      <c r="E23" s="828"/>
      <c r="F23" s="86"/>
      <c r="G23" s="86"/>
      <c r="H23" s="139"/>
    </row>
    <row r="24" spans="1:8" x14ac:dyDescent="0.2">
      <c r="A24" s="818" t="s">
        <v>9</v>
      </c>
      <c r="B24" s="818"/>
      <c r="C24" s="85" t="s">
        <v>26</v>
      </c>
      <c r="D24" s="827"/>
      <c r="E24" s="828"/>
      <c r="F24" s="86"/>
      <c r="G24" s="86"/>
      <c r="H24" s="139"/>
    </row>
    <row r="25" spans="1:8" x14ac:dyDescent="0.2">
      <c r="A25" s="831" t="s">
        <v>10</v>
      </c>
      <c r="B25" s="831"/>
      <c r="C25" s="85" t="s">
        <v>38</v>
      </c>
      <c r="D25" s="827"/>
      <c r="E25" s="828"/>
      <c r="F25" s="86"/>
      <c r="G25" s="86"/>
      <c r="H25" s="139"/>
    </row>
    <row r="26" spans="1:8" x14ac:dyDescent="0.2">
      <c r="A26" s="836" t="s">
        <v>11</v>
      </c>
      <c r="B26" s="836"/>
      <c r="C26" s="152" t="s">
        <v>39</v>
      </c>
      <c r="D26" s="833"/>
      <c r="E26" s="834"/>
      <c r="F26" s="153"/>
      <c r="G26" s="153"/>
      <c r="H26" s="154"/>
    </row>
    <row r="27" spans="1:8" x14ac:dyDescent="0.2">
      <c r="A27" s="835" t="s">
        <v>12</v>
      </c>
      <c r="B27" s="835"/>
      <c r="C27" s="85" t="s">
        <v>40</v>
      </c>
      <c r="D27" s="827"/>
      <c r="E27" s="828"/>
      <c r="F27" s="86"/>
      <c r="G27" s="86"/>
      <c r="H27" s="139"/>
    </row>
    <row r="28" spans="1:8" x14ac:dyDescent="0.2">
      <c r="A28" s="831" t="s">
        <v>13</v>
      </c>
      <c r="B28" s="831"/>
      <c r="C28" s="85" t="s">
        <v>41</v>
      </c>
      <c r="D28" s="827"/>
      <c r="E28" s="828"/>
      <c r="F28" s="86"/>
      <c r="G28" s="86"/>
      <c r="H28" s="139"/>
    </row>
    <row r="29" spans="1:8" x14ac:dyDescent="0.2">
      <c r="A29" s="835" t="s">
        <v>14</v>
      </c>
      <c r="B29" s="835"/>
      <c r="C29" s="85" t="s">
        <v>42</v>
      </c>
      <c r="D29" s="827"/>
      <c r="E29" s="828"/>
      <c r="F29" s="86"/>
      <c r="G29" s="86"/>
      <c r="H29" s="139"/>
    </row>
    <row r="30" spans="1:8" x14ac:dyDescent="0.2">
      <c r="A30" s="831" t="s">
        <v>15</v>
      </c>
      <c r="B30" s="831"/>
      <c r="C30" s="85" t="s">
        <v>43</v>
      </c>
      <c r="D30" s="827"/>
      <c r="E30" s="828"/>
      <c r="F30" s="86"/>
      <c r="G30" s="86"/>
      <c r="H30" s="139"/>
    </row>
    <row r="31" spans="1:8" x14ac:dyDescent="0.2">
      <c r="A31" s="832" t="s">
        <v>16</v>
      </c>
      <c r="B31" s="832"/>
      <c r="C31" s="152" t="s">
        <v>44</v>
      </c>
      <c r="D31" s="833"/>
      <c r="E31" s="834"/>
      <c r="F31" s="153"/>
      <c r="G31" s="153"/>
      <c r="H31" s="154"/>
    </row>
    <row r="32" spans="1:8" x14ac:dyDescent="0.2">
      <c r="A32" s="83" t="s">
        <v>117</v>
      </c>
      <c r="B32" s="136" t="s">
        <v>118</v>
      </c>
      <c r="C32" s="85" t="s">
        <v>45</v>
      </c>
      <c r="D32" s="827"/>
      <c r="E32" s="828"/>
      <c r="F32" s="86"/>
      <c r="G32" s="86"/>
      <c r="H32" s="139"/>
    </row>
    <row r="33" spans="1:8" x14ac:dyDescent="0.2">
      <c r="A33" s="832" t="s">
        <v>17</v>
      </c>
      <c r="B33" s="832"/>
      <c r="C33" s="152" t="s">
        <v>46</v>
      </c>
      <c r="D33" s="833"/>
      <c r="E33" s="834"/>
      <c r="F33" s="153"/>
      <c r="G33" s="153"/>
      <c r="H33" s="154"/>
    </row>
    <row r="34" spans="1:8" x14ac:dyDescent="0.2">
      <c r="A34" s="83" t="s">
        <v>117</v>
      </c>
      <c r="B34" s="136" t="s">
        <v>118</v>
      </c>
      <c r="C34" s="85">
        <v>22</v>
      </c>
      <c r="D34" s="137"/>
      <c r="E34" s="138"/>
      <c r="F34" s="86"/>
      <c r="G34" s="86"/>
      <c r="H34" s="139"/>
    </row>
    <row r="35" spans="1:8" x14ac:dyDescent="0.2">
      <c r="A35" s="818" t="s">
        <v>18</v>
      </c>
      <c r="B35" s="818"/>
      <c r="C35" s="85">
        <v>23</v>
      </c>
      <c r="D35" s="827"/>
      <c r="E35" s="828"/>
      <c r="F35" s="86"/>
      <c r="G35" s="86"/>
      <c r="H35" s="139"/>
    </row>
    <row r="36" spans="1:8" x14ac:dyDescent="0.2">
      <c r="A36" s="829" t="s">
        <v>19</v>
      </c>
      <c r="B36" s="830"/>
      <c r="C36" s="85">
        <v>24</v>
      </c>
      <c r="D36" s="137"/>
      <c r="E36" s="138"/>
      <c r="F36" s="86"/>
      <c r="G36" s="86"/>
      <c r="H36" s="139"/>
    </row>
    <row r="37" spans="1:8" x14ac:dyDescent="0.2">
      <c r="A37" s="829" t="s">
        <v>215</v>
      </c>
      <c r="B37" s="830"/>
      <c r="C37" s="85">
        <v>25</v>
      </c>
      <c r="D37" s="137"/>
      <c r="E37" s="138"/>
      <c r="F37" s="86"/>
      <c r="G37" s="86"/>
      <c r="H37" s="139"/>
    </row>
    <row r="38" spans="1:8" x14ac:dyDescent="0.2">
      <c r="A38" s="829" t="s">
        <v>263</v>
      </c>
      <c r="B38" s="830"/>
      <c r="C38" s="85">
        <v>26</v>
      </c>
      <c r="D38" s="137"/>
      <c r="E38" s="138"/>
      <c r="F38" s="86"/>
      <c r="G38" s="86"/>
      <c r="H38" s="139"/>
    </row>
    <row r="39" spans="1:8" x14ac:dyDescent="0.2">
      <c r="A39" s="831" t="s">
        <v>216</v>
      </c>
      <c r="B39" s="831"/>
      <c r="C39" s="85">
        <v>27</v>
      </c>
      <c r="D39" s="827"/>
      <c r="E39" s="828"/>
      <c r="F39" s="86"/>
      <c r="G39" s="86"/>
      <c r="H39" s="139"/>
    </row>
    <row r="40" spans="1:8" x14ac:dyDescent="0.2">
      <c r="A40" s="821" t="s">
        <v>270</v>
      </c>
      <c r="B40" s="821"/>
      <c r="C40" s="821"/>
      <c r="D40" s="821"/>
      <c r="E40" s="821"/>
      <c r="F40" s="821"/>
      <c r="G40" s="821"/>
      <c r="H40" s="821"/>
    </row>
    <row r="41" spans="1:8" x14ac:dyDescent="0.2">
      <c r="A41" s="822" t="s">
        <v>271</v>
      </c>
      <c r="B41" s="822"/>
      <c r="C41" s="822"/>
      <c r="D41" s="822"/>
      <c r="E41" s="822"/>
      <c r="F41" s="822"/>
      <c r="G41" s="822"/>
      <c r="H41" s="822"/>
    </row>
    <row r="42" spans="1:8" x14ac:dyDescent="0.2">
      <c r="A42" s="84"/>
      <c r="B42" s="84"/>
      <c r="C42" s="84"/>
      <c r="D42" s="84"/>
      <c r="E42" s="84"/>
      <c r="F42" s="84"/>
      <c r="G42" s="84"/>
      <c r="H42" s="84"/>
    </row>
    <row r="43" spans="1:8" x14ac:dyDescent="0.2">
      <c r="A43" s="87" t="s">
        <v>119</v>
      </c>
      <c r="B43" s="88"/>
      <c r="C43" s="88"/>
      <c r="D43" s="88"/>
      <c r="E43" s="89"/>
      <c r="F43" s="90"/>
      <c r="G43" s="90"/>
      <c r="H43" s="84"/>
    </row>
    <row r="44" spans="1:8" x14ac:dyDescent="0.2">
      <c r="A44" s="823" t="s">
        <v>120</v>
      </c>
      <c r="B44" s="824"/>
      <c r="C44" s="824"/>
      <c r="D44" s="825"/>
      <c r="E44" s="91"/>
      <c r="F44" s="90"/>
      <c r="G44" s="90"/>
      <c r="H44" s="84"/>
    </row>
    <row r="45" spans="1:8" x14ac:dyDescent="0.2">
      <c r="A45" s="84"/>
      <c r="B45" s="84"/>
      <c r="C45" s="84"/>
      <c r="D45" s="84"/>
      <c r="E45" s="826"/>
      <c r="F45" s="826"/>
      <c r="G45" s="84"/>
      <c r="H45" s="84"/>
    </row>
    <row r="46" spans="1:8" x14ac:dyDescent="0.2">
      <c r="A46" s="84"/>
      <c r="B46" s="135" t="s">
        <v>121</v>
      </c>
      <c r="C46" s="92"/>
      <c r="D46" s="84"/>
      <c r="E46" s="93"/>
      <c r="F46" s="135" t="s">
        <v>122</v>
      </c>
      <c r="G46" s="84"/>
      <c r="H46" s="84"/>
    </row>
    <row r="47" spans="1:8" x14ac:dyDescent="0.2">
      <c r="A47" s="84"/>
      <c r="B47" s="135" t="s">
        <v>123</v>
      </c>
      <c r="C47" s="92"/>
      <c r="D47" s="84"/>
      <c r="E47" s="93"/>
      <c r="F47" s="135" t="s">
        <v>124</v>
      </c>
      <c r="G47" s="84"/>
      <c r="H47" s="84"/>
    </row>
    <row r="48" spans="1:8" x14ac:dyDescent="0.2">
      <c r="A48" s="84"/>
      <c r="B48" s="135" t="s">
        <v>125</v>
      </c>
      <c r="C48" s="92"/>
      <c r="D48" s="84"/>
      <c r="E48" s="93"/>
      <c r="F48" s="84"/>
      <c r="G48" s="84"/>
      <c r="H48" s="84"/>
    </row>
  </sheetData>
  <mergeCells count="60">
    <mergeCell ref="A2:H3"/>
    <mergeCell ref="A4:B8"/>
    <mergeCell ref="C4:E8"/>
    <mergeCell ref="F4:H8"/>
    <mergeCell ref="A11:C11"/>
    <mergeCell ref="D11:E11"/>
    <mergeCell ref="A12:C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33:B33"/>
    <mergeCell ref="D33:E33"/>
    <mergeCell ref="A27:B27"/>
    <mergeCell ref="D27:E27"/>
    <mergeCell ref="A28:B28"/>
    <mergeCell ref="D28:E28"/>
    <mergeCell ref="A29:B29"/>
    <mergeCell ref="D29:E29"/>
    <mergeCell ref="A30:B30"/>
    <mergeCell ref="D30:E30"/>
    <mergeCell ref="A31:B31"/>
    <mergeCell ref="D31:E31"/>
    <mergeCell ref="D32:E32"/>
    <mergeCell ref="A40:H40"/>
    <mergeCell ref="A41:H41"/>
    <mergeCell ref="A44:D44"/>
    <mergeCell ref="E45:F45"/>
    <mergeCell ref="A35:B35"/>
    <mergeCell ref="D35:E35"/>
    <mergeCell ref="A36:B36"/>
    <mergeCell ref="A37:B37"/>
    <mergeCell ref="A38:B38"/>
    <mergeCell ref="A39:B39"/>
    <mergeCell ref="D39:E39"/>
  </mergeCells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theme="4" tint="0.59999389629810485"/>
    <pageSetUpPr fitToPage="1"/>
  </sheetPr>
  <dimension ref="B1:J42"/>
  <sheetViews>
    <sheetView zoomScale="80" zoomScaleNormal="80" workbookViewId="0">
      <selection activeCell="B1" sqref="B1"/>
    </sheetView>
  </sheetViews>
  <sheetFormatPr defaultRowHeight="12.75" x14ac:dyDescent="0.2"/>
  <cols>
    <col min="1" max="1" width="2.42578125" style="61" customWidth="1"/>
    <col min="2" max="2" width="57" style="61" customWidth="1"/>
    <col min="3" max="3" width="17.7109375" style="61" customWidth="1"/>
    <col min="4" max="4" width="18.5703125" style="61" customWidth="1"/>
    <col min="5" max="5" width="4.140625" style="61" customWidth="1"/>
    <col min="6" max="6" width="12.7109375" style="61" customWidth="1"/>
    <col min="7" max="7" width="16.7109375" style="61" customWidth="1"/>
    <col min="8" max="8" width="14" style="61" customWidth="1"/>
    <col min="9" max="9" width="12.28515625" style="61" customWidth="1"/>
    <col min="10" max="10" width="10.5703125" style="61" bestFit="1" customWidth="1"/>
    <col min="11" max="16384" width="9.140625" style="61"/>
  </cols>
  <sheetData>
    <row r="1" spans="2:10" ht="15.75" thickBot="1" x14ac:dyDescent="0.25">
      <c r="B1" s="170" t="s">
        <v>230</v>
      </c>
    </row>
    <row r="2" spans="2:10" ht="32.25" customHeight="1" thickBot="1" x14ac:dyDescent="0.25">
      <c r="B2" s="886" t="s">
        <v>231</v>
      </c>
      <c r="C2" s="887"/>
      <c r="D2" s="888" t="s">
        <v>232</v>
      </c>
      <c r="E2" s="888"/>
      <c r="F2" s="888"/>
      <c r="G2" s="888"/>
      <c r="H2" s="888"/>
      <c r="I2" s="889"/>
    </row>
    <row r="3" spans="2:10" ht="25.5" customHeight="1" x14ac:dyDescent="0.2">
      <c r="B3" s="890" t="s">
        <v>233</v>
      </c>
      <c r="C3" s="891"/>
      <c r="D3" s="896" t="s">
        <v>236</v>
      </c>
      <c r="E3" s="888"/>
      <c r="F3" s="897"/>
      <c r="G3" s="876" t="s">
        <v>195</v>
      </c>
      <c r="H3" s="877"/>
      <c r="I3" s="878"/>
    </row>
    <row r="4" spans="2:10" ht="38.25" customHeight="1" x14ac:dyDescent="0.2">
      <c r="B4" s="892" t="s">
        <v>234</v>
      </c>
      <c r="C4" s="893"/>
      <c r="D4" s="898" t="s">
        <v>237</v>
      </c>
      <c r="E4" s="899"/>
      <c r="F4" s="900"/>
      <c r="G4" s="879" t="s">
        <v>238</v>
      </c>
      <c r="H4" s="880"/>
      <c r="I4" s="881"/>
    </row>
    <row r="5" spans="2:10" ht="13.5" thickBot="1" x14ac:dyDescent="0.25">
      <c r="B5" s="894" t="s">
        <v>235</v>
      </c>
      <c r="C5" s="895"/>
      <c r="D5" s="882"/>
      <c r="E5" s="883"/>
      <c r="F5" s="901"/>
      <c r="G5" s="882"/>
      <c r="H5" s="883"/>
      <c r="I5" s="884"/>
    </row>
    <row r="6" spans="2:10" ht="19.5" customHeight="1" thickBot="1" x14ac:dyDescent="0.25">
      <c r="B6" s="862" t="s">
        <v>239</v>
      </c>
      <c r="C6" s="863"/>
      <c r="D6" s="873"/>
      <c r="E6" s="874"/>
      <c r="F6" s="875"/>
      <c r="G6" s="873"/>
      <c r="H6" s="874"/>
      <c r="I6" s="885"/>
    </row>
    <row r="7" spans="2:10" ht="38.25" x14ac:dyDescent="0.2">
      <c r="B7" s="864" t="s">
        <v>21</v>
      </c>
      <c r="C7" s="865"/>
      <c r="D7" s="865"/>
      <c r="E7" s="866"/>
      <c r="F7" s="140" t="s">
        <v>62</v>
      </c>
      <c r="G7" s="140" t="s">
        <v>240</v>
      </c>
      <c r="H7" s="140" t="s">
        <v>242</v>
      </c>
      <c r="I7" s="63" t="s">
        <v>243</v>
      </c>
    </row>
    <row r="8" spans="2:10" ht="25.5" x14ac:dyDescent="0.2">
      <c r="B8" s="864"/>
      <c r="C8" s="865"/>
      <c r="D8" s="865"/>
      <c r="E8" s="866"/>
      <c r="F8" s="140" t="s">
        <v>205</v>
      </c>
      <c r="G8" s="140" t="s">
        <v>241</v>
      </c>
      <c r="H8" s="140" t="s">
        <v>204</v>
      </c>
      <c r="I8" s="64" t="s">
        <v>213</v>
      </c>
    </row>
    <row r="9" spans="2:10" ht="41.25" x14ac:dyDescent="0.2">
      <c r="B9" s="864"/>
      <c r="C9" s="865"/>
      <c r="D9" s="865"/>
      <c r="E9" s="866"/>
      <c r="F9" s="140" t="s">
        <v>209</v>
      </c>
      <c r="G9" s="65" t="s">
        <v>213</v>
      </c>
      <c r="H9" s="140" t="s">
        <v>247</v>
      </c>
      <c r="I9" s="66"/>
    </row>
    <row r="10" spans="2:10" ht="13.5" thickBot="1" x14ac:dyDescent="0.25">
      <c r="B10" s="867"/>
      <c r="C10" s="868"/>
      <c r="D10" s="868"/>
      <c r="E10" s="869"/>
      <c r="F10" s="67" t="s">
        <v>212</v>
      </c>
      <c r="G10" s="68"/>
      <c r="H10" s="69"/>
      <c r="I10" s="70"/>
    </row>
    <row r="11" spans="2:10" ht="13.5" thickBot="1" x14ac:dyDescent="0.25">
      <c r="B11" s="870">
        <v>0</v>
      </c>
      <c r="C11" s="871"/>
      <c r="D11" s="871"/>
      <c r="E11" s="872"/>
      <c r="F11" s="141">
        <v>1</v>
      </c>
      <c r="G11" s="141">
        <v>2</v>
      </c>
      <c r="H11" s="141">
        <v>3</v>
      </c>
      <c r="I11" s="71">
        <v>4</v>
      </c>
    </row>
    <row r="12" spans="2:10" ht="15" customHeight="1" thickBot="1" x14ac:dyDescent="0.25">
      <c r="B12" s="858" t="s">
        <v>218</v>
      </c>
      <c r="C12" s="859"/>
      <c r="D12" s="860"/>
      <c r="E12" s="141">
        <v>1</v>
      </c>
      <c r="F12" s="141">
        <v>159828</v>
      </c>
      <c r="G12" s="141">
        <v>20862</v>
      </c>
      <c r="H12" s="141">
        <v>17283</v>
      </c>
      <c r="I12" s="71">
        <v>14914</v>
      </c>
    </row>
    <row r="13" spans="2:10" ht="13.5" thickBot="1" x14ac:dyDescent="0.25">
      <c r="B13" s="858" t="s">
        <v>1</v>
      </c>
      <c r="C13" s="859"/>
      <c r="D13" s="860"/>
      <c r="E13" s="141">
        <v>2</v>
      </c>
      <c r="F13" s="141">
        <v>48823.4</v>
      </c>
      <c r="G13" s="141">
        <v>8841</v>
      </c>
      <c r="H13" s="141">
        <v>5591</v>
      </c>
      <c r="I13" s="71">
        <v>4590</v>
      </c>
    </row>
    <row r="14" spans="2:10" ht="13.5" thickBot="1" x14ac:dyDescent="0.25">
      <c r="B14" s="858" t="s">
        <v>2</v>
      </c>
      <c r="C14" s="859"/>
      <c r="D14" s="860"/>
      <c r="E14" s="141">
        <v>3</v>
      </c>
      <c r="F14" s="141">
        <v>2798.5</v>
      </c>
      <c r="G14" s="141">
        <v>790</v>
      </c>
      <c r="H14" s="141">
        <v>735</v>
      </c>
      <c r="I14" s="71">
        <v>482</v>
      </c>
      <c r="J14" s="60">
        <f>SUM(I13+I14+I15+I16+I30+I32)</f>
        <v>13499</v>
      </c>
    </row>
    <row r="15" spans="2:10" ht="13.5" thickBot="1" x14ac:dyDescent="0.25">
      <c r="B15" s="858" t="s">
        <v>3</v>
      </c>
      <c r="C15" s="859"/>
      <c r="D15" s="860"/>
      <c r="E15" s="141">
        <v>4</v>
      </c>
      <c r="F15" s="141">
        <v>16205.1</v>
      </c>
      <c r="G15" s="141">
        <v>4396</v>
      </c>
      <c r="H15" s="141">
        <v>3330</v>
      </c>
      <c r="I15" s="71">
        <v>3134</v>
      </c>
    </row>
    <row r="16" spans="2:10" ht="13.5" thickBot="1" x14ac:dyDescent="0.25">
      <c r="B16" s="858" t="s">
        <v>4</v>
      </c>
      <c r="C16" s="859"/>
      <c r="D16" s="860"/>
      <c r="E16" s="141">
        <v>5</v>
      </c>
      <c r="F16" s="141">
        <v>16296.5</v>
      </c>
      <c r="G16" s="141">
        <v>1649</v>
      </c>
      <c r="H16" s="141">
        <v>1465</v>
      </c>
      <c r="I16" s="71">
        <v>1348</v>
      </c>
    </row>
    <row r="17" spans="2:9" ht="15.75" customHeight="1" thickBot="1" x14ac:dyDescent="0.25">
      <c r="B17" s="858" t="s">
        <v>5</v>
      </c>
      <c r="C17" s="859"/>
      <c r="D17" s="860"/>
      <c r="E17" s="141">
        <v>6</v>
      </c>
      <c r="F17" s="141">
        <v>682.6</v>
      </c>
      <c r="G17" s="141">
        <v>579</v>
      </c>
      <c r="H17" s="141">
        <v>498</v>
      </c>
      <c r="I17" s="71">
        <v>53</v>
      </c>
    </row>
    <row r="18" spans="2:9" ht="13.5" thickBot="1" x14ac:dyDescent="0.25">
      <c r="B18" s="858" t="s">
        <v>115</v>
      </c>
      <c r="C18" s="859"/>
      <c r="D18" s="860"/>
      <c r="E18" s="141">
        <v>7</v>
      </c>
      <c r="F18" s="141">
        <v>3.2</v>
      </c>
      <c r="G18" s="141">
        <v>7</v>
      </c>
      <c r="H18" s="141">
        <v>6</v>
      </c>
      <c r="I18" s="71">
        <v>0</v>
      </c>
    </row>
    <row r="19" spans="2:9" ht="13.5" thickBot="1" x14ac:dyDescent="0.25">
      <c r="B19" s="858" t="s">
        <v>6</v>
      </c>
      <c r="C19" s="859"/>
      <c r="D19" s="860"/>
      <c r="E19" s="141">
        <v>8</v>
      </c>
      <c r="F19" s="141">
        <v>76.2</v>
      </c>
      <c r="G19" s="141">
        <v>19</v>
      </c>
      <c r="H19" s="141">
        <v>6</v>
      </c>
      <c r="I19" s="71">
        <v>4</v>
      </c>
    </row>
    <row r="20" spans="2:9" ht="14.25" customHeight="1" thickBot="1" x14ac:dyDescent="0.25">
      <c r="B20" s="858" t="s">
        <v>7</v>
      </c>
      <c r="C20" s="859"/>
      <c r="D20" s="860"/>
      <c r="E20" s="141">
        <v>9</v>
      </c>
      <c r="F20" s="141">
        <v>0</v>
      </c>
      <c r="G20" s="141">
        <v>0</v>
      </c>
      <c r="H20" s="141">
        <v>0</v>
      </c>
      <c r="I20" s="71">
        <v>0</v>
      </c>
    </row>
    <row r="21" spans="2:9" ht="14.25" customHeight="1" thickBot="1" x14ac:dyDescent="0.25">
      <c r="B21" s="858" t="s">
        <v>8</v>
      </c>
      <c r="C21" s="859"/>
      <c r="D21" s="860"/>
      <c r="E21" s="141">
        <v>10</v>
      </c>
      <c r="F21" s="141">
        <v>0</v>
      </c>
      <c r="G21" s="141">
        <v>0</v>
      </c>
      <c r="H21" s="141">
        <v>0</v>
      </c>
      <c r="I21" s="71">
        <v>0</v>
      </c>
    </row>
    <row r="22" spans="2:9" ht="12" customHeight="1" thickBot="1" x14ac:dyDescent="0.25">
      <c r="B22" s="858" t="s">
        <v>214</v>
      </c>
      <c r="C22" s="859"/>
      <c r="D22" s="860"/>
      <c r="E22" s="141">
        <v>11</v>
      </c>
      <c r="F22" s="141">
        <v>15.9</v>
      </c>
      <c r="G22" s="141">
        <v>5</v>
      </c>
      <c r="H22" s="141">
        <v>0</v>
      </c>
      <c r="I22" s="71">
        <v>0</v>
      </c>
    </row>
    <row r="23" spans="2:9" ht="13.5" thickBot="1" x14ac:dyDescent="0.25">
      <c r="B23" s="858" t="s">
        <v>9</v>
      </c>
      <c r="C23" s="859"/>
      <c r="D23" s="860"/>
      <c r="E23" s="141">
        <v>12</v>
      </c>
      <c r="F23" s="141">
        <v>599</v>
      </c>
      <c r="G23" s="141">
        <v>171</v>
      </c>
      <c r="H23" s="141">
        <v>51</v>
      </c>
      <c r="I23" s="71">
        <v>25</v>
      </c>
    </row>
    <row r="24" spans="2:9" ht="13.5" thickBot="1" x14ac:dyDescent="0.25">
      <c r="B24" s="858" t="s">
        <v>10</v>
      </c>
      <c r="C24" s="859"/>
      <c r="D24" s="860"/>
      <c r="E24" s="141">
        <v>13</v>
      </c>
      <c r="F24" s="141">
        <v>541.79999999999995</v>
      </c>
      <c r="G24" s="141">
        <v>116</v>
      </c>
      <c r="H24" s="141">
        <v>43</v>
      </c>
      <c r="I24" s="71">
        <v>40</v>
      </c>
    </row>
    <row r="25" spans="2:9" ht="13.5" thickBot="1" x14ac:dyDescent="0.25">
      <c r="B25" s="858" t="s">
        <v>11</v>
      </c>
      <c r="C25" s="859"/>
      <c r="D25" s="860"/>
      <c r="E25" s="141">
        <v>14</v>
      </c>
      <c r="F25" s="141">
        <v>6944.5</v>
      </c>
      <c r="G25" s="141">
        <v>915</v>
      </c>
      <c r="H25" s="141">
        <v>1192</v>
      </c>
      <c r="I25" s="71">
        <v>1100</v>
      </c>
    </row>
    <row r="26" spans="2:9" ht="15.75" customHeight="1" thickBot="1" x14ac:dyDescent="0.25">
      <c r="B26" s="858" t="s">
        <v>12</v>
      </c>
      <c r="C26" s="859"/>
      <c r="D26" s="860"/>
      <c r="E26" s="141">
        <v>15</v>
      </c>
      <c r="F26" s="141">
        <v>1148.5999999999999</v>
      </c>
      <c r="G26" s="141">
        <v>192</v>
      </c>
      <c r="H26" s="141">
        <v>111</v>
      </c>
      <c r="I26" s="71">
        <v>100</v>
      </c>
    </row>
    <row r="27" spans="2:9" ht="13.5" thickBot="1" x14ac:dyDescent="0.25">
      <c r="B27" s="858" t="s">
        <v>13</v>
      </c>
      <c r="C27" s="859"/>
      <c r="D27" s="860"/>
      <c r="E27" s="141">
        <v>16</v>
      </c>
      <c r="F27" s="141">
        <v>2.6</v>
      </c>
      <c r="G27" s="141">
        <v>1</v>
      </c>
      <c r="H27" s="141">
        <v>0</v>
      </c>
      <c r="I27" s="71">
        <v>0</v>
      </c>
    </row>
    <row r="28" spans="2:9" ht="14.25" customHeight="1" thickBot="1" x14ac:dyDescent="0.25">
      <c r="B28" s="858" t="s">
        <v>14</v>
      </c>
      <c r="C28" s="859"/>
      <c r="D28" s="860"/>
      <c r="E28" s="141">
        <v>17</v>
      </c>
      <c r="F28" s="141">
        <v>12.3</v>
      </c>
      <c r="G28" s="141">
        <v>7</v>
      </c>
      <c r="H28" s="141">
        <v>4</v>
      </c>
      <c r="I28" s="71">
        <v>4</v>
      </c>
    </row>
    <row r="29" spans="2:9" ht="13.5" thickBot="1" x14ac:dyDescent="0.25">
      <c r="B29" s="858" t="s">
        <v>15</v>
      </c>
      <c r="C29" s="859"/>
      <c r="D29" s="860"/>
      <c r="E29" s="141">
        <v>18</v>
      </c>
      <c r="F29" s="141">
        <v>0</v>
      </c>
      <c r="G29" s="141">
        <v>0</v>
      </c>
      <c r="H29" s="141">
        <v>0</v>
      </c>
      <c r="I29" s="71">
        <v>0</v>
      </c>
    </row>
    <row r="30" spans="2:9" ht="13.5" customHeight="1" thickBot="1" x14ac:dyDescent="0.25">
      <c r="B30" s="858" t="s">
        <v>16</v>
      </c>
      <c r="C30" s="859"/>
      <c r="D30" s="860"/>
      <c r="E30" s="141">
        <v>19</v>
      </c>
      <c r="F30" s="141">
        <v>36183.5</v>
      </c>
      <c r="G30" s="141">
        <v>1764</v>
      </c>
      <c r="H30" s="141">
        <v>2286</v>
      </c>
      <c r="I30" s="71">
        <v>2256</v>
      </c>
    </row>
    <row r="31" spans="2:9" ht="15.75" customHeight="1" thickBot="1" x14ac:dyDescent="0.25">
      <c r="B31" s="72" t="s">
        <v>117</v>
      </c>
      <c r="C31" s="861" t="s">
        <v>118</v>
      </c>
      <c r="D31" s="860"/>
      <c r="E31" s="141">
        <v>20</v>
      </c>
      <c r="F31" s="141">
        <v>42</v>
      </c>
      <c r="G31" s="141">
        <v>2</v>
      </c>
      <c r="H31" s="141">
        <v>0</v>
      </c>
      <c r="I31" s="71">
        <v>0</v>
      </c>
    </row>
    <row r="32" spans="2:9" ht="13.5" customHeight="1" thickBot="1" x14ac:dyDescent="0.25">
      <c r="B32" s="858" t="s">
        <v>17</v>
      </c>
      <c r="C32" s="859"/>
      <c r="D32" s="860"/>
      <c r="E32" s="141">
        <v>21</v>
      </c>
      <c r="F32" s="141">
        <v>29490.400000000001</v>
      </c>
      <c r="G32" s="141">
        <v>1409</v>
      </c>
      <c r="H32" s="141">
        <v>1847</v>
      </c>
      <c r="I32" s="71">
        <v>1689</v>
      </c>
    </row>
    <row r="33" spans="2:9" ht="12.75" customHeight="1" thickBot="1" x14ac:dyDescent="0.25">
      <c r="B33" s="72" t="s">
        <v>117</v>
      </c>
      <c r="C33" s="861" t="s">
        <v>118</v>
      </c>
      <c r="D33" s="860"/>
      <c r="E33" s="141">
        <v>22</v>
      </c>
      <c r="F33" s="141">
        <v>0</v>
      </c>
      <c r="G33" s="141">
        <v>0</v>
      </c>
      <c r="H33" s="141">
        <v>0</v>
      </c>
      <c r="I33" s="71">
        <v>0</v>
      </c>
    </row>
    <row r="34" spans="2:9" ht="13.5" thickBot="1" x14ac:dyDescent="0.25">
      <c r="B34" s="858" t="s">
        <v>18</v>
      </c>
      <c r="C34" s="859"/>
      <c r="D34" s="860"/>
      <c r="E34" s="141">
        <v>23</v>
      </c>
      <c r="F34" s="141">
        <v>0</v>
      </c>
      <c r="G34" s="141">
        <v>0</v>
      </c>
      <c r="H34" s="141">
        <v>0</v>
      </c>
      <c r="I34" s="71">
        <v>0</v>
      </c>
    </row>
    <row r="35" spans="2:9" ht="15.75" customHeight="1" thickBot="1" x14ac:dyDescent="0.25">
      <c r="B35" s="858" t="s">
        <v>19</v>
      </c>
      <c r="C35" s="859"/>
      <c r="D35" s="860"/>
      <c r="E35" s="141">
        <v>24</v>
      </c>
      <c r="F35" s="141">
        <v>1.3</v>
      </c>
      <c r="G35" s="141">
        <v>0</v>
      </c>
      <c r="H35" s="141">
        <v>116</v>
      </c>
      <c r="I35" s="71">
        <v>88</v>
      </c>
    </row>
    <row r="36" spans="2:9" ht="16.5" customHeight="1" thickBot="1" x14ac:dyDescent="0.25">
      <c r="B36" s="858" t="s">
        <v>215</v>
      </c>
      <c r="C36" s="859"/>
      <c r="D36" s="860"/>
      <c r="E36" s="141">
        <v>25</v>
      </c>
      <c r="F36" s="141">
        <v>2.6</v>
      </c>
      <c r="G36" s="141">
        <v>1</v>
      </c>
      <c r="H36" s="141">
        <v>2</v>
      </c>
      <c r="I36" s="71">
        <v>1</v>
      </c>
    </row>
    <row r="37" spans="2:9" ht="15" customHeight="1" thickBot="1" x14ac:dyDescent="0.25">
      <c r="B37" s="858" t="s">
        <v>244</v>
      </c>
      <c r="C37" s="859"/>
      <c r="D37" s="860"/>
      <c r="E37" s="141">
        <v>26</v>
      </c>
      <c r="F37" s="141">
        <v>0</v>
      </c>
      <c r="G37" s="141">
        <v>0</v>
      </c>
      <c r="H37" s="141">
        <v>0</v>
      </c>
      <c r="I37" s="71">
        <v>0</v>
      </c>
    </row>
    <row r="38" spans="2:9" ht="15.75" customHeight="1" thickBot="1" x14ac:dyDescent="0.25">
      <c r="B38" s="855" t="s">
        <v>216</v>
      </c>
      <c r="C38" s="856"/>
      <c r="D38" s="857"/>
      <c r="E38" s="73">
        <v>27</v>
      </c>
      <c r="F38" s="73">
        <v>319698</v>
      </c>
      <c r="G38" s="73">
        <v>41726</v>
      </c>
      <c r="H38" s="73">
        <v>34566</v>
      </c>
      <c r="I38" s="74">
        <v>29828</v>
      </c>
    </row>
    <row r="39" spans="2:9" ht="13.5" thickBot="1" x14ac:dyDescent="0.25">
      <c r="B39" s="75" t="s">
        <v>245</v>
      </c>
      <c r="C39" s="76">
        <v>24350</v>
      </c>
    </row>
    <row r="40" spans="2:9" ht="13.5" thickBot="1" x14ac:dyDescent="0.25">
      <c r="B40" s="77" t="s">
        <v>246</v>
      </c>
      <c r="C40" s="78">
        <v>1600</v>
      </c>
    </row>
    <row r="41" spans="2:9" x14ac:dyDescent="0.2">
      <c r="B41" s="79" t="s">
        <v>347</v>
      </c>
    </row>
    <row r="42" spans="2:9" x14ac:dyDescent="0.2">
      <c r="B42" s="79" t="s">
        <v>348</v>
      </c>
    </row>
  </sheetData>
  <mergeCells count="43">
    <mergeCell ref="G3:I3"/>
    <mergeCell ref="G4:I4"/>
    <mergeCell ref="G5:I5"/>
    <mergeCell ref="G6:I6"/>
    <mergeCell ref="B2:C2"/>
    <mergeCell ref="D2:I2"/>
    <mergeCell ref="B3:C3"/>
    <mergeCell ref="B4:C4"/>
    <mergeCell ref="B5:C5"/>
    <mergeCell ref="D3:F3"/>
    <mergeCell ref="D4:F4"/>
    <mergeCell ref="D5:F5"/>
    <mergeCell ref="B19:D19"/>
    <mergeCell ref="B6:C6"/>
    <mergeCell ref="B7:E10"/>
    <mergeCell ref="B11:E11"/>
    <mergeCell ref="B12:D12"/>
    <mergeCell ref="B13:D13"/>
    <mergeCell ref="D6:F6"/>
    <mergeCell ref="B14:D14"/>
    <mergeCell ref="B15:D15"/>
    <mergeCell ref="B16:D16"/>
    <mergeCell ref="B17:D17"/>
    <mergeCell ref="B18:D18"/>
    <mergeCell ref="C31:D3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8:D38"/>
    <mergeCell ref="B32:D32"/>
    <mergeCell ref="C33:D33"/>
    <mergeCell ref="B34:D34"/>
    <mergeCell ref="B35:D35"/>
    <mergeCell ref="B36:D36"/>
    <mergeCell ref="B37:D37"/>
  </mergeCells>
  <pageMargins left="0" right="0" top="0" bottom="0" header="0" footer="0"/>
  <pageSetup paperSize="9" scale="83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theme="4" tint="0.59999389629810485"/>
    <pageSetUpPr fitToPage="1"/>
  </sheetPr>
  <dimension ref="B1:H71"/>
  <sheetViews>
    <sheetView zoomScale="80" zoomScaleNormal="80" workbookViewId="0">
      <selection activeCell="B1" sqref="B1"/>
    </sheetView>
  </sheetViews>
  <sheetFormatPr defaultRowHeight="11.25" x14ac:dyDescent="0.2"/>
  <cols>
    <col min="1" max="1" width="2.5703125" style="82" customWidth="1"/>
    <col min="2" max="2" width="61.7109375" style="82" customWidth="1"/>
    <col min="3" max="3" width="24.42578125" style="82" customWidth="1"/>
    <col min="4" max="4" width="3.7109375" style="82" customWidth="1"/>
    <col min="5" max="5" width="12.28515625" style="82" customWidth="1"/>
    <col min="6" max="6" width="13.28515625" style="82" customWidth="1"/>
    <col min="7" max="7" width="16.28515625" style="82" customWidth="1"/>
    <col min="8" max="8" width="11.85546875" style="82" customWidth="1"/>
    <col min="9" max="16384" width="9.140625" style="82"/>
  </cols>
  <sheetData>
    <row r="1" spans="2:8" ht="18" customHeight="1" thickBot="1" x14ac:dyDescent="0.25">
      <c r="B1" s="96" t="s">
        <v>229</v>
      </c>
    </row>
    <row r="2" spans="2:8" ht="11.25" customHeight="1" x14ac:dyDescent="0.2">
      <c r="B2" s="155"/>
      <c r="C2" s="904" t="s">
        <v>191</v>
      </c>
      <c r="D2" s="904"/>
      <c r="E2" s="904"/>
      <c r="F2" s="904"/>
      <c r="G2" s="904"/>
      <c r="H2" s="156"/>
    </row>
    <row r="3" spans="2:8" ht="11.25" customHeight="1" x14ac:dyDescent="0.2">
      <c r="B3" s="157"/>
      <c r="C3" s="905" t="s">
        <v>192</v>
      </c>
      <c r="D3" s="905"/>
      <c r="E3" s="905"/>
      <c r="F3" s="905"/>
      <c r="G3" s="905"/>
      <c r="H3" s="158"/>
    </row>
    <row r="4" spans="2:8" x14ac:dyDescent="0.2">
      <c r="B4" s="902"/>
      <c r="C4" s="903"/>
      <c r="D4" s="159"/>
      <c r="E4" s="179" t="s">
        <v>193</v>
      </c>
      <c r="F4" s="149"/>
      <c r="G4" s="149"/>
      <c r="H4" s="158"/>
    </row>
    <row r="5" spans="2:8" ht="10.5" customHeight="1" x14ac:dyDescent="0.2">
      <c r="B5" s="902"/>
      <c r="C5" s="903"/>
      <c r="D5" s="159"/>
      <c r="E5" s="905" t="s">
        <v>194</v>
      </c>
      <c r="F5" s="905"/>
      <c r="G5" s="149" t="s">
        <v>195</v>
      </c>
      <c r="H5" s="158"/>
    </row>
    <row r="6" spans="2:8" ht="11.25" customHeight="1" x14ac:dyDescent="0.2">
      <c r="B6" s="150"/>
      <c r="C6" s="151"/>
      <c r="D6" s="159"/>
      <c r="E6" s="905" t="s">
        <v>196</v>
      </c>
      <c r="F6" s="905"/>
      <c r="G6" s="149"/>
      <c r="H6" s="158"/>
    </row>
    <row r="7" spans="2:8" ht="15" customHeight="1" x14ac:dyDescent="0.2">
      <c r="B7" s="902"/>
      <c r="C7" s="903"/>
      <c r="D7" s="159"/>
      <c r="E7" s="905" t="s">
        <v>197</v>
      </c>
      <c r="F7" s="905"/>
      <c r="G7" s="149"/>
      <c r="H7" s="158"/>
    </row>
    <row r="8" spans="2:8" x14ac:dyDescent="0.2">
      <c r="B8" s="902"/>
      <c r="C8" s="903"/>
      <c r="D8" s="159"/>
      <c r="E8" s="905" t="s">
        <v>198</v>
      </c>
      <c r="F8" s="905"/>
      <c r="G8" s="149"/>
      <c r="H8" s="158"/>
    </row>
    <row r="9" spans="2:8" ht="12" thickBot="1" x14ac:dyDescent="0.25">
      <c r="B9" s="160"/>
      <c r="C9" s="161"/>
      <c r="D9" s="162"/>
      <c r="E9" s="906" t="s">
        <v>199</v>
      </c>
      <c r="F9" s="906"/>
      <c r="G9" s="161"/>
      <c r="H9" s="163"/>
    </row>
    <row r="10" spans="2:8" x14ac:dyDescent="0.2">
      <c r="B10" s="164"/>
      <c r="C10" s="165"/>
      <c r="D10" s="166"/>
      <c r="E10" s="20"/>
      <c r="F10" s="20"/>
      <c r="G10" s="20" t="s">
        <v>200</v>
      </c>
      <c r="H10" s="20"/>
    </row>
    <row r="11" spans="2:8" x14ac:dyDescent="0.2">
      <c r="B11" s="164"/>
      <c r="C11" s="165"/>
      <c r="D11" s="167"/>
      <c r="E11" s="21" t="s">
        <v>62</v>
      </c>
      <c r="F11" s="20" t="s">
        <v>201</v>
      </c>
      <c r="G11" s="20" t="s">
        <v>202</v>
      </c>
      <c r="H11" s="21" t="s">
        <v>200</v>
      </c>
    </row>
    <row r="12" spans="2:8" x14ac:dyDescent="0.2">
      <c r="B12" s="164"/>
      <c r="C12" s="165"/>
      <c r="D12" s="167"/>
      <c r="E12" s="21" t="s">
        <v>205</v>
      </c>
      <c r="F12" s="21" t="s">
        <v>203</v>
      </c>
      <c r="G12" s="21" t="s">
        <v>204</v>
      </c>
      <c r="H12" s="21" t="s">
        <v>206</v>
      </c>
    </row>
    <row r="13" spans="2:8" ht="11.25" customHeight="1" x14ac:dyDescent="0.2">
      <c r="B13" s="22" t="s">
        <v>21</v>
      </c>
      <c r="D13" s="167"/>
      <c r="E13" s="21" t="s">
        <v>209</v>
      </c>
      <c r="F13" s="21" t="s">
        <v>207</v>
      </c>
      <c r="G13" s="21" t="s">
        <v>208</v>
      </c>
      <c r="H13" s="21" t="s">
        <v>210</v>
      </c>
    </row>
    <row r="14" spans="2:8" x14ac:dyDescent="0.2">
      <c r="B14" s="164"/>
      <c r="C14" s="23"/>
      <c r="D14" s="167"/>
      <c r="E14" s="20" t="s">
        <v>212</v>
      </c>
      <c r="F14" s="21" t="s">
        <v>55</v>
      </c>
      <c r="G14" s="21" t="s">
        <v>211</v>
      </c>
      <c r="H14" s="20" t="s">
        <v>213</v>
      </c>
    </row>
    <row r="15" spans="2:8" x14ac:dyDescent="0.2">
      <c r="B15" s="164"/>
      <c r="C15" s="165"/>
      <c r="D15" s="167"/>
      <c r="E15" s="21"/>
      <c r="F15" s="20" t="s">
        <v>213</v>
      </c>
      <c r="G15" s="20" t="s">
        <v>217</v>
      </c>
      <c r="H15" s="21"/>
    </row>
    <row r="16" spans="2:8" x14ac:dyDescent="0.2">
      <c r="B16" s="164"/>
      <c r="C16" s="165"/>
      <c r="D16" s="167"/>
      <c r="E16" s="21"/>
      <c r="F16" s="21"/>
      <c r="G16" s="21"/>
      <c r="H16" s="21"/>
    </row>
    <row r="17" spans="2:8" x14ac:dyDescent="0.2">
      <c r="B17" s="164"/>
      <c r="C17" s="165"/>
      <c r="D17" s="167"/>
      <c r="E17" s="20"/>
      <c r="F17" s="21"/>
      <c r="G17" s="21"/>
      <c r="H17" s="20"/>
    </row>
    <row r="18" spans="2:8" x14ac:dyDescent="0.2">
      <c r="B18" s="164"/>
      <c r="C18" s="165"/>
      <c r="D18" s="167"/>
      <c r="E18" s="20"/>
      <c r="F18" s="20"/>
      <c r="G18" s="20"/>
      <c r="H18" s="20"/>
    </row>
    <row r="19" spans="2:8" ht="12" thickBot="1" x14ac:dyDescent="0.25">
      <c r="B19" s="31"/>
      <c r="C19" s="32"/>
      <c r="D19" s="35"/>
      <c r="E19" s="26"/>
      <c r="F19" s="26"/>
      <c r="G19" s="26"/>
      <c r="H19" s="26"/>
    </row>
    <row r="20" spans="2:8" ht="12" thickBot="1" x14ac:dyDescent="0.25">
      <c r="B20" s="24">
        <v>0</v>
      </c>
      <c r="C20" s="25"/>
      <c r="D20" s="35"/>
      <c r="E20" s="26">
        <v>1</v>
      </c>
      <c r="F20" s="26">
        <v>2</v>
      </c>
      <c r="G20" s="26">
        <v>3</v>
      </c>
      <c r="H20" s="26">
        <v>4</v>
      </c>
    </row>
    <row r="21" spans="2:8" ht="12" customHeight="1" thickBot="1" x14ac:dyDescent="0.25">
      <c r="B21" s="27" t="s">
        <v>218</v>
      </c>
      <c r="C21" s="28"/>
      <c r="D21" s="29">
        <v>1</v>
      </c>
      <c r="E21" s="30"/>
      <c r="F21" s="30"/>
      <c r="G21" s="30"/>
      <c r="H21" s="30"/>
    </row>
    <row r="22" spans="2:8" ht="12" thickBot="1" x14ac:dyDescent="0.25">
      <c r="B22" s="31" t="s">
        <v>1</v>
      </c>
      <c r="C22" s="32"/>
      <c r="D22" s="33">
        <v>2</v>
      </c>
      <c r="E22" s="34"/>
      <c r="F22" s="34"/>
      <c r="G22" s="34"/>
      <c r="H22" s="34"/>
    </row>
    <row r="23" spans="2:8" ht="12" thickBot="1" x14ac:dyDescent="0.25">
      <c r="B23" s="27" t="s">
        <v>2</v>
      </c>
      <c r="C23" s="28"/>
      <c r="D23" s="33">
        <v>3</v>
      </c>
      <c r="E23" s="34"/>
      <c r="F23" s="34"/>
      <c r="G23" s="34"/>
      <c r="H23" s="34"/>
    </row>
    <row r="24" spans="2:8" ht="12" thickBot="1" x14ac:dyDescent="0.25">
      <c r="B24" s="27" t="s">
        <v>3</v>
      </c>
      <c r="C24" s="28"/>
      <c r="D24" s="33">
        <v>4</v>
      </c>
      <c r="E24" s="34"/>
      <c r="F24" s="34"/>
      <c r="G24" s="34"/>
      <c r="H24" s="34"/>
    </row>
    <row r="25" spans="2:8" ht="12" thickBot="1" x14ac:dyDescent="0.25">
      <c r="B25" s="27" t="s">
        <v>4</v>
      </c>
      <c r="C25" s="28"/>
      <c r="D25" s="33">
        <v>5</v>
      </c>
      <c r="E25" s="34"/>
      <c r="F25" s="34"/>
      <c r="G25" s="34"/>
      <c r="H25" s="34"/>
    </row>
    <row r="26" spans="2:8" ht="13.5" customHeight="1" thickBot="1" x14ac:dyDescent="0.25">
      <c r="B26" s="27" t="s">
        <v>5</v>
      </c>
      <c r="C26" s="28"/>
      <c r="D26" s="33">
        <v>6</v>
      </c>
      <c r="E26" s="34"/>
      <c r="F26" s="34"/>
      <c r="G26" s="34"/>
      <c r="H26" s="34"/>
    </row>
    <row r="27" spans="2:8" ht="12" thickBot="1" x14ac:dyDescent="0.25">
      <c r="B27" s="27" t="s">
        <v>115</v>
      </c>
      <c r="C27" s="28"/>
      <c r="D27" s="33">
        <v>7</v>
      </c>
      <c r="E27" s="34"/>
      <c r="F27" s="34"/>
      <c r="G27" s="34"/>
      <c r="H27" s="34"/>
    </row>
    <row r="28" spans="2:8" ht="12" thickBot="1" x14ac:dyDescent="0.25">
      <c r="B28" s="27" t="s">
        <v>6</v>
      </c>
      <c r="C28" s="28"/>
      <c r="D28" s="33">
        <v>8</v>
      </c>
      <c r="E28" s="34"/>
      <c r="F28" s="34"/>
      <c r="G28" s="34"/>
      <c r="H28" s="34"/>
    </row>
    <row r="29" spans="2:8" ht="10.5" customHeight="1" thickBot="1" x14ac:dyDescent="0.25">
      <c r="B29" s="27" t="s">
        <v>7</v>
      </c>
      <c r="C29" s="28"/>
      <c r="D29" s="33">
        <v>9</v>
      </c>
      <c r="E29" s="34"/>
      <c r="F29" s="34"/>
      <c r="G29" s="34"/>
      <c r="H29" s="34"/>
    </row>
    <row r="30" spans="2:8" ht="12.75" customHeight="1" thickBot="1" x14ac:dyDescent="0.25">
      <c r="B30" s="27" t="s">
        <v>8</v>
      </c>
      <c r="C30" s="28"/>
      <c r="D30" s="33">
        <v>10</v>
      </c>
      <c r="E30" s="34"/>
      <c r="F30" s="34"/>
      <c r="G30" s="34"/>
      <c r="H30" s="34"/>
    </row>
    <row r="31" spans="2:8" ht="14.25" customHeight="1" thickBot="1" x14ac:dyDescent="0.25">
      <c r="B31" s="27" t="s">
        <v>214</v>
      </c>
      <c r="C31" s="28"/>
      <c r="D31" s="33">
        <v>11</v>
      </c>
      <c r="E31" s="34"/>
      <c r="F31" s="34"/>
      <c r="G31" s="34"/>
      <c r="H31" s="34"/>
    </row>
    <row r="32" spans="2:8" ht="12" thickBot="1" x14ac:dyDescent="0.25">
      <c r="B32" s="27" t="s">
        <v>9</v>
      </c>
      <c r="C32" s="28"/>
      <c r="D32" s="33">
        <v>12</v>
      </c>
      <c r="E32" s="34"/>
      <c r="F32" s="34"/>
      <c r="G32" s="34"/>
      <c r="H32" s="34"/>
    </row>
    <row r="33" spans="2:8" ht="12" thickBot="1" x14ac:dyDescent="0.25">
      <c r="B33" s="27" t="s">
        <v>10</v>
      </c>
      <c r="C33" s="28"/>
      <c r="D33" s="33">
        <v>13</v>
      </c>
      <c r="E33" s="34"/>
      <c r="F33" s="34"/>
      <c r="G33" s="34"/>
      <c r="H33" s="34"/>
    </row>
    <row r="34" spans="2:8" ht="12" thickBot="1" x14ac:dyDescent="0.25">
      <c r="B34" s="27" t="s">
        <v>11</v>
      </c>
      <c r="C34" s="28"/>
      <c r="D34" s="33">
        <v>14</v>
      </c>
      <c r="E34" s="34"/>
      <c r="F34" s="34"/>
      <c r="G34" s="34"/>
      <c r="H34" s="34"/>
    </row>
    <row r="35" spans="2:8" ht="13.5" customHeight="1" thickBot="1" x14ac:dyDescent="0.25">
      <c r="B35" s="27" t="s">
        <v>12</v>
      </c>
      <c r="C35" s="28"/>
      <c r="D35" s="33">
        <v>15</v>
      </c>
      <c r="E35" s="34"/>
      <c r="F35" s="34"/>
      <c r="G35" s="34"/>
      <c r="H35" s="34"/>
    </row>
    <row r="36" spans="2:8" ht="12" thickBot="1" x14ac:dyDescent="0.25">
      <c r="B36" s="27" t="s">
        <v>13</v>
      </c>
      <c r="C36" s="28"/>
      <c r="D36" s="33">
        <v>16</v>
      </c>
      <c r="E36" s="34"/>
      <c r="F36" s="34"/>
      <c r="G36" s="34"/>
      <c r="H36" s="34"/>
    </row>
    <row r="37" spans="2:8" ht="12" customHeight="1" thickBot="1" x14ac:dyDescent="0.25">
      <c r="B37" s="27" t="s">
        <v>14</v>
      </c>
      <c r="C37" s="28"/>
      <c r="D37" s="33">
        <v>17</v>
      </c>
      <c r="E37" s="34"/>
      <c r="F37" s="34"/>
      <c r="G37" s="34"/>
      <c r="H37" s="34"/>
    </row>
    <row r="38" spans="2:8" ht="12" thickBot="1" x14ac:dyDescent="0.25">
      <c r="B38" s="27" t="s">
        <v>15</v>
      </c>
      <c r="C38" s="28"/>
      <c r="D38" s="33">
        <v>18</v>
      </c>
      <c r="E38" s="34"/>
      <c r="F38" s="34"/>
      <c r="G38" s="34"/>
      <c r="H38" s="34"/>
    </row>
    <row r="39" spans="2:8" ht="12" customHeight="1" thickBot="1" x14ac:dyDescent="0.25">
      <c r="B39" s="27" t="s">
        <v>16</v>
      </c>
      <c r="C39" s="28"/>
      <c r="D39" s="33">
        <v>19</v>
      </c>
      <c r="E39" s="34"/>
      <c r="F39" s="34"/>
      <c r="G39" s="34"/>
      <c r="H39" s="34"/>
    </row>
    <row r="40" spans="2:8" ht="12.75" customHeight="1" thickBot="1" x14ac:dyDescent="0.25">
      <c r="B40" s="35" t="s">
        <v>117</v>
      </c>
      <c r="C40" s="27" t="s">
        <v>118</v>
      </c>
      <c r="D40" s="33">
        <v>20</v>
      </c>
      <c r="E40" s="34"/>
      <c r="F40" s="34"/>
      <c r="G40" s="34"/>
      <c r="H40" s="34"/>
    </row>
    <row r="41" spans="2:8" ht="13.5" customHeight="1" thickBot="1" x14ac:dyDescent="0.25">
      <c r="B41" s="27" t="s">
        <v>17</v>
      </c>
      <c r="C41" s="28"/>
      <c r="D41" s="33">
        <v>21</v>
      </c>
      <c r="E41" s="34"/>
      <c r="F41" s="34"/>
      <c r="G41" s="34"/>
      <c r="H41" s="34"/>
    </row>
    <row r="42" spans="2:8" ht="12.75" customHeight="1" thickBot="1" x14ac:dyDescent="0.25">
      <c r="B42" s="35" t="s">
        <v>117</v>
      </c>
      <c r="C42" s="27" t="s">
        <v>118</v>
      </c>
      <c r="D42" s="33">
        <v>22</v>
      </c>
      <c r="E42" s="34"/>
      <c r="F42" s="34"/>
      <c r="G42" s="34"/>
      <c r="H42" s="34"/>
    </row>
    <row r="43" spans="2:8" ht="12" thickBot="1" x14ac:dyDescent="0.25">
      <c r="B43" s="27" t="s">
        <v>18</v>
      </c>
      <c r="C43" s="28"/>
      <c r="D43" s="33">
        <v>23</v>
      </c>
      <c r="E43" s="34"/>
      <c r="F43" s="34"/>
      <c r="G43" s="34"/>
      <c r="H43" s="34"/>
    </row>
    <row r="44" spans="2:8" ht="15" customHeight="1" thickBot="1" x14ac:dyDescent="0.25">
      <c r="B44" s="27" t="s">
        <v>19</v>
      </c>
      <c r="C44" s="28"/>
      <c r="D44" s="33">
        <v>24</v>
      </c>
      <c r="E44" s="34"/>
      <c r="F44" s="34"/>
      <c r="G44" s="34"/>
      <c r="H44" s="34"/>
    </row>
    <row r="45" spans="2:8" ht="13.5" customHeight="1" thickBot="1" x14ac:dyDescent="0.25">
      <c r="B45" s="27" t="s">
        <v>215</v>
      </c>
      <c r="C45" s="28"/>
      <c r="D45" s="33">
        <v>25</v>
      </c>
      <c r="E45" s="34"/>
      <c r="F45" s="34"/>
      <c r="G45" s="34"/>
      <c r="H45" s="34"/>
    </row>
    <row r="46" spans="2:8" ht="12.75" customHeight="1" thickBot="1" x14ac:dyDescent="0.25">
      <c r="B46" s="27" t="s">
        <v>222</v>
      </c>
      <c r="C46" s="28"/>
      <c r="D46" s="29">
        <v>26</v>
      </c>
      <c r="E46" s="36"/>
      <c r="F46" s="36"/>
      <c r="G46" s="36"/>
      <c r="H46" s="36"/>
    </row>
    <row r="47" spans="2:8" ht="13.5" customHeight="1" thickBot="1" x14ac:dyDescent="0.25">
      <c r="B47" s="31" t="s">
        <v>216</v>
      </c>
      <c r="C47" s="32"/>
      <c r="D47" s="33">
        <v>27</v>
      </c>
      <c r="E47" s="34"/>
      <c r="F47" s="34"/>
      <c r="G47" s="34"/>
      <c r="H47" s="34"/>
    </row>
    <row r="48" spans="2:8" x14ac:dyDescent="0.2">
      <c r="B48" s="37" t="s">
        <v>343</v>
      </c>
      <c r="E48" s="168"/>
    </row>
    <row r="49" spans="2:3" x14ac:dyDescent="0.2">
      <c r="B49" s="37" t="s">
        <v>344</v>
      </c>
    </row>
    <row r="51" spans="2:3" x14ac:dyDescent="0.2">
      <c r="B51" s="38"/>
    </row>
    <row r="52" spans="2:3" x14ac:dyDescent="0.2">
      <c r="B52" s="38"/>
      <c r="C52" s="38"/>
    </row>
    <row r="53" spans="2:3" x14ac:dyDescent="0.2">
      <c r="B53" s="38"/>
    </row>
    <row r="54" spans="2:3" x14ac:dyDescent="0.2">
      <c r="B54" s="38"/>
      <c r="C54" s="38"/>
    </row>
    <row r="55" spans="2:3" x14ac:dyDescent="0.2">
      <c r="B55" s="38"/>
    </row>
    <row r="56" spans="2:3" x14ac:dyDescent="0.2">
      <c r="B56" s="38"/>
    </row>
    <row r="57" spans="2:3" x14ac:dyDescent="0.2">
      <c r="B57" s="38"/>
    </row>
    <row r="58" spans="2:3" x14ac:dyDescent="0.2">
      <c r="B58" s="39"/>
    </row>
    <row r="59" spans="2:3" x14ac:dyDescent="0.2">
      <c r="B59" s="38"/>
    </row>
    <row r="60" spans="2:3" x14ac:dyDescent="0.2">
      <c r="B60" s="40"/>
    </row>
    <row r="61" spans="2:3" x14ac:dyDescent="0.2">
      <c r="B61" s="38"/>
    </row>
    <row r="62" spans="2:3" x14ac:dyDescent="0.2">
      <c r="B62" s="41"/>
      <c r="C62" s="41"/>
    </row>
    <row r="63" spans="2:3" x14ac:dyDescent="0.2">
      <c r="B63" s="38"/>
    </row>
    <row r="64" spans="2:3" x14ac:dyDescent="0.2">
      <c r="B64" s="41"/>
    </row>
    <row r="66" spans="2:3" x14ac:dyDescent="0.2">
      <c r="B66" s="38"/>
    </row>
    <row r="67" spans="2:3" x14ac:dyDescent="0.2">
      <c r="B67" s="38"/>
    </row>
    <row r="68" spans="2:3" x14ac:dyDescent="0.2">
      <c r="B68" s="38"/>
    </row>
    <row r="69" spans="2:3" x14ac:dyDescent="0.2">
      <c r="B69" s="38"/>
    </row>
    <row r="70" spans="2:3" x14ac:dyDescent="0.2">
      <c r="B70" s="38"/>
    </row>
    <row r="71" spans="2:3" x14ac:dyDescent="0.2">
      <c r="B71" s="38"/>
      <c r="C71" s="38"/>
    </row>
  </sheetData>
  <mergeCells count="11">
    <mergeCell ref="B4:C4"/>
    <mergeCell ref="C2:G2"/>
    <mergeCell ref="C3:G3"/>
    <mergeCell ref="E9:F9"/>
    <mergeCell ref="B5:C5"/>
    <mergeCell ref="B7:C7"/>
    <mergeCell ref="B8:C8"/>
    <mergeCell ref="E5:F5"/>
    <mergeCell ref="E6:F6"/>
    <mergeCell ref="E7:F7"/>
    <mergeCell ref="E8:F8"/>
  </mergeCells>
  <pageMargins left="0.7" right="0.7" top="0.75" bottom="0.75" header="0.3" footer="0.3"/>
  <pageSetup paperSize="9" scale="59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Arkusz51">
    <tabColor theme="4" tint="0.59999389629810485"/>
    <pageSetUpPr fitToPage="1"/>
  </sheetPr>
  <dimension ref="B1:I45"/>
  <sheetViews>
    <sheetView zoomScale="70" zoomScaleNormal="70" workbookViewId="0">
      <selection activeCell="B1" sqref="B1"/>
    </sheetView>
  </sheetViews>
  <sheetFormatPr defaultRowHeight="14.25" x14ac:dyDescent="0.2"/>
  <cols>
    <col min="1" max="1" width="2.140625" style="44" customWidth="1"/>
    <col min="2" max="2" width="6.85546875" style="44" customWidth="1"/>
    <col min="3" max="3" width="28.5703125" style="44" customWidth="1"/>
    <col min="4" max="4" width="4.85546875" style="44" customWidth="1"/>
    <col min="5" max="5" width="14.140625" style="44" customWidth="1"/>
    <col min="6" max="6" width="10.140625" style="44" customWidth="1"/>
    <col min="7" max="7" width="15.85546875" style="44" customWidth="1"/>
    <col min="8" max="8" width="15" style="44" customWidth="1"/>
    <col min="9" max="9" width="12" style="44" customWidth="1"/>
    <col min="10" max="16384" width="9.140625" style="44"/>
  </cols>
  <sheetData>
    <row r="1" spans="2:9" ht="15" x14ac:dyDescent="0.2">
      <c r="B1" s="170" t="s">
        <v>228</v>
      </c>
    </row>
    <row r="2" spans="2:9" x14ac:dyDescent="0.2">
      <c r="B2" s="916" t="s">
        <v>107</v>
      </c>
      <c r="C2" s="916"/>
      <c r="D2" s="916"/>
      <c r="E2" s="916"/>
      <c r="F2" s="916"/>
      <c r="G2" s="916"/>
      <c r="H2" s="916"/>
      <c r="I2" s="916"/>
    </row>
    <row r="3" spans="2:9" ht="24.75" customHeight="1" x14ac:dyDescent="0.2">
      <c r="B3" s="916"/>
      <c r="C3" s="916"/>
      <c r="D3" s="916"/>
      <c r="E3" s="916"/>
      <c r="F3" s="916"/>
      <c r="G3" s="916"/>
      <c r="H3" s="916"/>
      <c r="I3" s="916"/>
    </row>
    <row r="4" spans="2:9" ht="12.75" customHeight="1" x14ac:dyDescent="0.2">
      <c r="B4" s="917" t="s">
        <v>351</v>
      </c>
      <c r="C4" s="917"/>
      <c r="D4" s="918" t="s">
        <v>108</v>
      </c>
      <c r="E4" s="918"/>
      <c r="F4" s="918"/>
      <c r="G4" s="919" t="s">
        <v>109</v>
      </c>
      <c r="H4" s="919"/>
      <c r="I4" s="919"/>
    </row>
    <row r="5" spans="2:9" x14ac:dyDescent="0.2">
      <c r="B5" s="917"/>
      <c r="C5" s="917"/>
      <c r="D5" s="918"/>
      <c r="E5" s="918"/>
      <c r="F5" s="918"/>
      <c r="G5" s="919"/>
      <c r="H5" s="919"/>
      <c r="I5" s="919"/>
    </row>
    <row r="6" spans="2:9" x14ac:dyDescent="0.2">
      <c r="B6" s="917"/>
      <c r="C6" s="917"/>
      <c r="D6" s="918"/>
      <c r="E6" s="918"/>
      <c r="F6" s="918"/>
      <c r="G6" s="919"/>
      <c r="H6" s="919"/>
      <c r="I6" s="919"/>
    </row>
    <row r="7" spans="2:9" x14ac:dyDescent="0.2">
      <c r="B7" s="917"/>
      <c r="C7" s="917"/>
      <c r="D7" s="918"/>
      <c r="E7" s="918"/>
      <c r="F7" s="918"/>
      <c r="G7" s="919"/>
      <c r="H7" s="919"/>
      <c r="I7" s="919"/>
    </row>
    <row r="8" spans="2:9" ht="60" customHeight="1" x14ac:dyDescent="0.2">
      <c r="B8" s="917"/>
      <c r="C8" s="917"/>
      <c r="D8" s="918"/>
      <c r="E8" s="918"/>
      <c r="F8" s="918"/>
      <c r="G8" s="919"/>
      <c r="H8" s="919"/>
      <c r="I8" s="919"/>
    </row>
    <row r="9" spans="2:9" x14ac:dyDescent="0.2">
      <c r="B9" s="42"/>
      <c r="C9" s="42"/>
      <c r="D9" s="42"/>
      <c r="E9" s="42"/>
      <c r="F9" s="42"/>
      <c r="G9" s="42"/>
      <c r="H9" s="42"/>
      <c r="I9" s="42"/>
    </row>
    <row r="10" spans="2:9" x14ac:dyDescent="0.2">
      <c r="B10" s="180"/>
      <c r="C10" s="180"/>
      <c r="D10" s="180"/>
      <c r="E10" s="180"/>
      <c r="F10" s="180"/>
      <c r="G10" s="180"/>
      <c r="H10" s="180"/>
      <c r="I10" s="180"/>
    </row>
    <row r="11" spans="2:9" ht="78" x14ac:dyDescent="0.2">
      <c r="B11" s="915" t="s">
        <v>21</v>
      </c>
      <c r="C11" s="915"/>
      <c r="D11" s="915"/>
      <c r="E11" s="912" t="s">
        <v>110</v>
      </c>
      <c r="F11" s="913"/>
      <c r="G11" s="144" t="s">
        <v>111</v>
      </c>
      <c r="H11" s="144" t="s">
        <v>112</v>
      </c>
      <c r="I11" s="144" t="s">
        <v>113</v>
      </c>
    </row>
    <row r="12" spans="2:9" x14ac:dyDescent="0.2">
      <c r="B12" s="915">
        <v>0</v>
      </c>
      <c r="C12" s="915"/>
      <c r="D12" s="915"/>
      <c r="E12" s="912">
        <v>1</v>
      </c>
      <c r="F12" s="913"/>
      <c r="G12" s="144">
        <v>2</v>
      </c>
      <c r="H12" s="144">
        <v>3</v>
      </c>
      <c r="I12" s="144">
        <v>4</v>
      </c>
    </row>
    <row r="13" spans="2:9" x14ac:dyDescent="0.2">
      <c r="B13" s="787" t="s">
        <v>0</v>
      </c>
      <c r="C13" s="787"/>
      <c r="D13" s="6" t="s">
        <v>27</v>
      </c>
      <c r="E13" s="912"/>
      <c r="F13" s="913"/>
      <c r="G13" s="144"/>
      <c r="H13" s="144"/>
      <c r="I13" s="144"/>
    </row>
    <row r="14" spans="2:9" x14ac:dyDescent="0.2">
      <c r="B14" s="787" t="s">
        <v>114</v>
      </c>
      <c r="C14" s="787"/>
      <c r="D14" s="6" t="s">
        <v>28</v>
      </c>
      <c r="E14" s="912"/>
      <c r="F14" s="913"/>
      <c r="G14" s="43"/>
      <c r="H14" s="43"/>
      <c r="I14" s="144"/>
    </row>
    <row r="15" spans="2:9" x14ac:dyDescent="0.2">
      <c r="B15" s="782" t="s">
        <v>2</v>
      </c>
      <c r="C15" s="782"/>
      <c r="D15" s="6" t="s">
        <v>29</v>
      </c>
      <c r="E15" s="912"/>
      <c r="F15" s="913"/>
      <c r="G15" s="43"/>
      <c r="H15" s="43"/>
      <c r="I15" s="144"/>
    </row>
    <row r="16" spans="2:9" x14ac:dyDescent="0.2">
      <c r="B16" s="782" t="s">
        <v>3</v>
      </c>
      <c r="C16" s="782"/>
      <c r="D16" s="6" t="s">
        <v>30</v>
      </c>
      <c r="E16" s="912"/>
      <c r="F16" s="913"/>
      <c r="G16" s="43"/>
      <c r="H16" s="43"/>
      <c r="I16" s="144"/>
    </row>
    <row r="17" spans="2:9" x14ac:dyDescent="0.2">
      <c r="B17" s="789" t="s">
        <v>4</v>
      </c>
      <c r="C17" s="789"/>
      <c r="D17" s="6" t="s">
        <v>31</v>
      </c>
      <c r="E17" s="912"/>
      <c r="F17" s="913"/>
      <c r="G17" s="43"/>
      <c r="H17" s="43"/>
      <c r="I17" s="144"/>
    </row>
    <row r="18" spans="2:9" x14ac:dyDescent="0.2">
      <c r="B18" s="787" t="s">
        <v>5</v>
      </c>
      <c r="C18" s="787"/>
      <c r="D18" s="6" t="s">
        <v>32</v>
      </c>
      <c r="E18" s="912"/>
      <c r="F18" s="913"/>
      <c r="G18" s="43"/>
      <c r="H18" s="43"/>
      <c r="I18" s="144"/>
    </row>
    <row r="19" spans="2:9" x14ac:dyDescent="0.2">
      <c r="B19" s="792" t="s">
        <v>115</v>
      </c>
      <c r="C19" s="792"/>
      <c r="D19" s="6" t="s">
        <v>33</v>
      </c>
      <c r="E19" s="912"/>
      <c r="F19" s="913"/>
      <c r="G19" s="43"/>
      <c r="H19" s="43"/>
      <c r="I19" s="144"/>
    </row>
    <row r="20" spans="2:9" x14ac:dyDescent="0.2">
      <c r="B20" s="787" t="s">
        <v>6</v>
      </c>
      <c r="C20" s="787"/>
      <c r="D20" s="6" t="s">
        <v>34</v>
      </c>
      <c r="E20" s="912"/>
      <c r="F20" s="913"/>
      <c r="G20" s="43"/>
      <c r="H20" s="43"/>
      <c r="I20" s="144"/>
    </row>
    <row r="21" spans="2:9" x14ac:dyDescent="0.2">
      <c r="B21" s="787" t="s">
        <v>7</v>
      </c>
      <c r="C21" s="787"/>
      <c r="D21" s="6" t="s">
        <v>35</v>
      </c>
      <c r="E21" s="912"/>
      <c r="F21" s="913"/>
      <c r="G21" s="43"/>
      <c r="H21" s="43"/>
      <c r="I21" s="144"/>
    </row>
    <row r="22" spans="2:9" x14ac:dyDescent="0.2">
      <c r="B22" s="782" t="s">
        <v>8</v>
      </c>
      <c r="C22" s="782"/>
      <c r="D22" s="6" t="s">
        <v>36</v>
      </c>
      <c r="E22" s="912"/>
      <c r="F22" s="913"/>
      <c r="G22" s="43"/>
      <c r="H22" s="43"/>
      <c r="I22" s="144"/>
    </row>
    <row r="23" spans="2:9" x14ac:dyDescent="0.2">
      <c r="B23" s="789" t="s">
        <v>116</v>
      </c>
      <c r="C23" s="789"/>
      <c r="D23" s="6" t="s">
        <v>37</v>
      </c>
      <c r="E23" s="912"/>
      <c r="F23" s="913"/>
      <c r="G23" s="43"/>
      <c r="H23" s="43"/>
      <c r="I23" s="144"/>
    </row>
    <row r="24" spans="2:9" x14ac:dyDescent="0.2">
      <c r="B24" s="787" t="s">
        <v>9</v>
      </c>
      <c r="C24" s="787"/>
      <c r="D24" s="6" t="s">
        <v>26</v>
      </c>
      <c r="E24" s="912"/>
      <c r="F24" s="913"/>
      <c r="G24" s="43"/>
      <c r="H24" s="43"/>
      <c r="I24" s="144"/>
    </row>
    <row r="25" spans="2:9" x14ac:dyDescent="0.2">
      <c r="B25" s="782" t="s">
        <v>10</v>
      </c>
      <c r="C25" s="782"/>
      <c r="D25" s="6" t="s">
        <v>38</v>
      </c>
      <c r="E25" s="912"/>
      <c r="F25" s="913"/>
      <c r="G25" s="43"/>
      <c r="H25" s="43"/>
      <c r="I25" s="144"/>
    </row>
    <row r="26" spans="2:9" x14ac:dyDescent="0.2">
      <c r="B26" s="782" t="s">
        <v>11</v>
      </c>
      <c r="C26" s="782"/>
      <c r="D26" s="6" t="s">
        <v>39</v>
      </c>
      <c r="E26" s="912"/>
      <c r="F26" s="913"/>
      <c r="G26" s="43"/>
      <c r="H26" s="43"/>
      <c r="I26" s="144"/>
    </row>
    <row r="27" spans="2:9" x14ac:dyDescent="0.2">
      <c r="B27" s="781" t="s">
        <v>12</v>
      </c>
      <c r="C27" s="781"/>
      <c r="D27" s="6" t="s">
        <v>40</v>
      </c>
      <c r="E27" s="912"/>
      <c r="F27" s="913"/>
      <c r="G27" s="43"/>
      <c r="H27" s="43"/>
      <c r="I27" s="144"/>
    </row>
    <row r="28" spans="2:9" x14ac:dyDescent="0.2">
      <c r="B28" s="782" t="s">
        <v>13</v>
      </c>
      <c r="C28" s="782"/>
      <c r="D28" s="6" t="s">
        <v>41</v>
      </c>
      <c r="E28" s="912"/>
      <c r="F28" s="913"/>
      <c r="G28" s="43"/>
      <c r="H28" s="43"/>
      <c r="I28" s="144"/>
    </row>
    <row r="29" spans="2:9" x14ac:dyDescent="0.2">
      <c r="B29" s="781" t="s">
        <v>14</v>
      </c>
      <c r="C29" s="781"/>
      <c r="D29" s="6" t="s">
        <v>42</v>
      </c>
      <c r="E29" s="912"/>
      <c r="F29" s="913"/>
      <c r="G29" s="43"/>
      <c r="H29" s="43"/>
      <c r="I29" s="144"/>
    </row>
    <row r="30" spans="2:9" x14ac:dyDescent="0.2">
      <c r="B30" s="782" t="s">
        <v>15</v>
      </c>
      <c r="C30" s="782"/>
      <c r="D30" s="6" t="s">
        <v>43</v>
      </c>
      <c r="E30" s="912"/>
      <c r="F30" s="913"/>
      <c r="G30" s="43"/>
      <c r="H30" s="43"/>
      <c r="I30" s="144"/>
    </row>
    <row r="31" spans="2:9" x14ac:dyDescent="0.2">
      <c r="B31" s="787" t="s">
        <v>16</v>
      </c>
      <c r="C31" s="787"/>
      <c r="D31" s="6" t="s">
        <v>44</v>
      </c>
      <c r="E31" s="912"/>
      <c r="F31" s="913"/>
      <c r="G31" s="43"/>
      <c r="H31" s="43"/>
      <c r="I31" s="144"/>
    </row>
    <row r="32" spans="2:9" x14ac:dyDescent="0.2">
      <c r="B32" s="7" t="s">
        <v>117</v>
      </c>
      <c r="C32" s="134" t="s">
        <v>118</v>
      </c>
      <c r="D32" s="6" t="s">
        <v>45</v>
      </c>
      <c r="E32" s="912"/>
      <c r="F32" s="913"/>
      <c r="G32" s="43"/>
      <c r="H32" s="43"/>
      <c r="I32" s="144"/>
    </row>
    <row r="33" spans="2:9" x14ac:dyDescent="0.2">
      <c r="B33" s="787" t="s">
        <v>17</v>
      </c>
      <c r="C33" s="787"/>
      <c r="D33" s="6" t="s">
        <v>46</v>
      </c>
      <c r="E33" s="912"/>
      <c r="F33" s="913"/>
      <c r="G33" s="43"/>
      <c r="H33" s="43"/>
      <c r="I33" s="144"/>
    </row>
    <row r="34" spans="2:9" x14ac:dyDescent="0.2">
      <c r="B34" s="787" t="s">
        <v>18</v>
      </c>
      <c r="C34" s="787"/>
      <c r="D34" s="6" t="s">
        <v>47</v>
      </c>
      <c r="E34" s="912"/>
      <c r="F34" s="913"/>
      <c r="G34" s="43"/>
      <c r="H34" s="43"/>
      <c r="I34" s="144"/>
    </row>
    <row r="35" spans="2:9" x14ac:dyDescent="0.2">
      <c r="B35" s="784" t="s">
        <v>19</v>
      </c>
      <c r="C35" s="785"/>
      <c r="D35" s="6" t="s">
        <v>48</v>
      </c>
      <c r="E35" s="142"/>
      <c r="F35" s="143"/>
      <c r="G35" s="43"/>
      <c r="H35" s="43"/>
      <c r="I35" s="144"/>
    </row>
    <row r="36" spans="2:9" x14ac:dyDescent="0.2">
      <c r="B36" s="782" t="s">
        <v>20</v>
      </c>
      <c r="C36" s="782"/>
      <c r="D36" s="6">
        <v>24</v>
      </c>
      <c r="E36" s="912"/>
      <c r="F36" s="913"/>
      <c r="G36" s="43"/>
      <c r="H36" s="43"/>
      <c r="I36" s="144"/>
    </row>
    <row r="37" spans="2:9" x14ac:dyDescent="0.2">
      <c r="B37" s="914" t="s">
        <v>345</v>
      </c>
      <c r="C37" s="914"/>
      <c r="D37" s="914"/>
      <c r="E37" s="914"/>
      <c r="F37" s="914"/>
      <c r="G37" s="914"/>
      <c r="H37" s="914"/>
      <c r="I37" s="914"/>
    </row>
    <row r="38" spans="2:9" x14ac:dyDescent="0.2">
      <c r="B38" s="907" t="s">
        <v>346</v>
      </c>
      <c r="C38" s="907"/>
      <c r="D38" s="907"/>
      <c r="E38" s="907"/>
      <c r="F38" s="907"/>
      <c r="G38" s="907"/>
      <c r="H38" s="907"/>
      <c r="I38" s="907"/>
    </row>
    <row r="40" spans="2:9" x14ac:dyDescent="0.2">
      <c r="B40" s="171" t="s">
        <v>119</v>
      </c>
      <c r="C40" s="172"/>
      <c r="D40" s="172"/>
      <c r="E40" s="172"/>
      <c r="F40" s="173"/>
      <c r="G40" s="174"/>
      <c r="H40" s="174"/>
    </row>
    <row r="41" spans="2:9" x14ac:dyDescent="0.2">
      <c r="B41" s="908" t="s">
        <v>120</v>
      </c>
      <c r="C41" s="909"/>
      <c r="D41" s="909"/>
      <c r="E41" s="910"/>
      <c r="F41" s="175"/>
      <c r="G41" s="174"/>
      <c r="H41" s="174"/>
    </row>
    <row r="42" spans="2:9" x14ac:dyDescent="0.2">
      <c r="F42" s="911"/>
      <c r="G42" s="911"/>
    </row>
    <row r="43" spans="2:9" x14ac:dyDescent="0.2">
      <c r="C43" s="176" t="s">
        <v>121</v>
      </c>
      <c r="D43" s="177"/>
      <c r="F43" s="169"/>
      <c r="G43" s="176" t="s">
        <v>122</v>
      </c>
    </row>
    <row r="44" spans="2:9" x14ac:dyDescent="0.2">
      <c r="C44" s="176" t="s">
        <v>123</v>
      </c>
      <c r="D44" s="177"/>
      <c r="F44" s="169"/>
      <c r="G44" s="176" t="s">
        <v>124</v>
      </c>
    </row>
    <row r="45" spans="2:9" x14ac:dyDescent="0.2">
      <c r="C45" s="176" t="s">
        <v>125</v>
      </c>
      <c r="D45" s="177"/>
      <c r="F45" s="169"/>
    </row>
  </sheetData>
  <mergeCells count="58">
    <mergeCell ref="B2:I3"/>
    <mergeCell ref="B4:C8"/>
    <mergeCell ref="D4:F8"/>
    <mergeCell ref="G4:I8"/>
    <mergeCell ref="B11:D11"/>
    <mergeCell ref="E11:F11"/>
    <mergeCell ref="B12:D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33:C33"/>
    <mergeCell ref="E33:F33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E32:F32"/>
    <mergeCell ref="B38:I38"/>
    <mergeCell ref="B41:E41"/>
    <mergeCell ref="F42:G42"/>
    <mergeCell ref="B34:C34"/>
    <mergeCell ref="E34:F34"/>
    <mergeCell ref="B35:C35"/>
    <mergeCell ref="B36:C36"/>
    <mergeCell ref="E36:F36"/>
    <mergeCell ref="B37:I37"/>
  </mergeCells>
  <pageMargins left="0.7" right="0.7" top="0.75" bottom="0.75" header="0.3" footer="0.3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B1:K42"/>
  <sheetViews>
    <sheetView zoomScale="80" zoomScaleNormal="80" workbookViewId="0">
      <selection activeCell="B1" sqref="B1"/>
    </sheetView>
  </sheetViews>
  <sheetFormatPr defaultRowHeight="14.25" x14ac:dyDescent="0.2"/>
  <cols>
    <col min="1" max="1" width="1.85546875" style="44" customWidth="1"/>
    <col min="2" max="2" width="4" style="44" customWidth="1"/>
    <col min="3" max="3" width="66.85546875" style="44" customWidth="1"/>
    <col min="4" max="4" width="11.7109375" style="44" customWidth="1"/>
    <col min="5" max="5" width="10.85546875" style="44" customWidth="1"/>
    <col min="6" max="6" width="11.140625" style="44" customWidth="1"/>
    <col min="7" max="7" width="15" style="44" customWidth="1"/>
    <col min="8" max="8" width="16.28515625" style="44" customWidth="1"/>
    <col min="9" max="9" width="10.85546875" style="44" customWidth="1"/>
    <col min="10" max="10" width="13.5703125" style="44" customWidth="1"/>
    <col min="11" max="11" width="15" style="44" customWidth="1"/>
    <col min="12" max="12" width="4" style="44" customWidth="1"/>
    <col min="13" max="16384" width="9.140625" style="44"/>
  </cols>
  <sheetData>
    <row r="1" spans="2:11" ht="15" x14ac:dyDescent="0.2">
      <c r="B1" s="96" t="s">
        <v>260</v>
      </c>
      <c r="E1" s="53"/>
      <c r="G1" s="382" t="s">
        <v>250</v>
      </c>
      <c r="H1" s="383" t="s">
        <v>248</v>
      </c>
      <c r="I1" s="45"/>
      <c r="J1" s="45"/>
    </row>
    <row r="2" spans="2:11" x14ac:dyDescent="0.2">
      <c r="B2" s="363"/>
      <c r="C2" s="763" t="s">
        <v>296</v>
      </c>
      <c r="D2" s="358"/>
      <c r="E2" s="358"/>
      <c r="F2" s="358"/>
      <c r="G2" s="358"/>
      <c r="H2" s="358"/>
      <c r="I2" s="358"/>
      <c r="J2" s="358"/>
      <c r="K2" s="359"/>
    </row>
    <row r="3" spans="2:11" ht="63" customHeight="1" x14ac:dyDescent="0.2">
      <c r="B3" s="356"/>
      <c r="C3" s="764"/>
      <c r="D3" s="357" t="s">
        <v>102</v>
      </c>
      <c r="E3" s="357" t="s">
        <v>103</v>
      </c>
      <c r="F3" s="357" t="s">
        <v>104</v>
      </c>
      <c r="G3" s="367" t="s">
        <v>105</v>
      </c>
      <c r="H3" s="357" t="s">
        <v>251</v>
      </c>
      <c r="I3" s="357" t="s">
        <v>158</v>
      </c>
      <c r="J3" s="384" t="s">
        <v>155</v>
      </c>
      <c r="K3" s="360" t="s">
        <v>106</v>
      </c>
    </row>
    <row r="4" spans="2:11" x14ac:dyDescent="0.2">
      <c r="B4" s="364" t="s">
        <v>100</v>
      </c>
      <c r="C4" s="764"/>
      <c r="D4" s="357"/>
      <c r="E4" s="357"/>
      <c r="F4" s="357"/>
      <c r="G4" s="357"/>
      <c r="H4" s="357"/>
      <c r="I4" s="357"/>
      <c r="J4" s="364"/>
      <c r="K4" s="360"/>
    </row>
    <row r="5" spans="2:11" x14ac:dyDescent="0.2">
      <c r="B5" s="365"/>
      <c r="C5" s="765"/>
      <c r="D5" s="361"/>
      <c r="E5" s="361"/>
      <c r="F5" s="361"/>
      <c r="G5" s="361"/>
      <c r="H5" s="361"/>
      <c r="I5" s="361"/>
      <c r="J5" s="361"/>
      <c r="K5" s="362"/>
    </row>
    <row r="6" spans="2:11" ht="18" customHeight="1" x14ac:dyDescent="0.2">
      <c r="B6" s="371">
        <v>1</v>
      </c>
      <c r="C6" s="373" t="s">
        <v>2</v>
      </c>
      <c r="D6" s="51">
        <f>SUM('z17'!F6)</f>
        <v>2120</v>
      </c>
      <c r="E6" s="51">
        <f>SUM('z17'!G6)</f>
        <v>1847</v>
      </c>
      <c r="F6" s="51">
        <f>SUM('z17'!H6)</f>
        <v>1191</v>
      </c>
      <c r="G6" s="374">
        <f>SUM(F6/E6)*100</f>
        <v>64.48294531672984</v>
      </c>
      <c r="H6" s="374">
        <f>SUM(J6/F6)</f>
        <v>5189.4206549118389</v>
      </c>
      <c r="I6" s="374">
        <f>SUM('z17'!E6)</f>
        <v>6180.6</v>
      </c>
      <c r="J6" s="51">
        <f>SUM(I6*1000)</f>
        <v>6180600</v>
      </c>
      <c r="K6" s="370">
        <f>SUM(J6/D6)</f>
        <v>2915.3773584905662</v>
      </c>
    </row>
    <row r="7" spans="2:11" ht="15.75" customHeight="1" x14ac:dyDescent="0.2">
      <c r="B7" s="125">
        <v>2</v>
      </c>
      <c r="C7" s="338" t="s">
        <v>1</v>
      </c>
      <c r="D7" s="46">
        <f>SUM('z17'!F5)</f>
        <v>15808</v>
      </c>
      <c r="E7" s="46">
        <f>SUM('z17'!G5)</f>
        <v>11017</v>
      </c>
      <c r="F7" s="46">
        <f>SUM('z17'!H5)</f>
        <v>9307</v>
      </c>
      <c r="G7" s="126">
        <f t="shared" ref="G7:G11" si="0">SUM(F7/E7)*100</f>
        <v>84.478533176000724</v>
      </c>
      <c r="H7" s="126">
        <f t="shared" ref="H7:H11" si="1">SUM(J7/F7)</f>
        <v>9304.3193295369092</v>
      </c>
      <c r="I7" s="126">
        <f>SUM('z17'!E5)</f>
        <v>86595.300000000017</v>
      </c>
      <c r="J7" s="46">
        <f t="shared" ref="J7:J11" si="2">SUM(I7*1000)</f>
        <v>86595300.000000015</v>
      </c>
      <c r="K7" s="326">
        <f>SUM(J7/D7)</f>
        <v>5477.9415485829968</v>
      </c>
    </row>
    <row r="8" spans="2:11" ht="15.75" customHeight="1" x14ac:dyDescent="0.2">
      <c r="B8" s="125">
        <v>3</v>
      </c>
      <c r="C8" s="338" t="s">
        <v>3</v>
      </c>
      <c r="D8" s="46">
        <f>SUM('z17'!F7)</f>
        <v>5479</v>
      </c>
      <c r="E8" s="46">
        <f>SUM('z17'!G7)</f>
        <v>3520</v>
      </c>
      <c r="F8" s="46">
        <f>SUM('z17'!H7)</f>
        <v>3187</v>
      </c>
      <c r="G8" s="126">
        <f t="shared" si="0"/>
        <v>90.539772727272734</v>
      </c>
      <c r="H8" s="126">
        <f t="shared" si="1"/>
        <v>7203.4201443363663</v>
      </c>
      <c r="I8" s="126">
        <f>SUM('z17'!E7)</f>
        <v>22957.3</v>
      </c>
      <c r="J8" s="46">
        <f t="shared" si="2"/>
        <v>22957300</v>
      </c>
      <c r="K8" s="326">
        <f>SUM(J8/D8)</f>
        <v>4190.0529293666732</v>
      </c>
    </row>
    <row r="9" spans="2:11" ht="14.25" customHeight="1" x14ac:dyDescent="0.2">
      <c r="B9" s="125">
        <v>4</v>
      </c>
      <c r="C9" s="338" t="s">
        <v>4</v>
      </c>
      <c r="D9" s="46">
        <f>SUM('z17'!F8)</f>
        <v>2740</v>
      </c>
      <c r="E9" s="46">
        <f>SUM('z17'!G8)</f>
        <v>2360</v>
      </c>
      <c r="F9" s="46">
        <f>SUM('z17'!H8)</f>
        <v>2165</v>
      </c>
      <c r="G9" s="126">
        <f t="shared" si="0"/>
        <v>91.737288135593218</v>
      </c>
      <c r="H9" s="126">
        <f t="shared" si="1"/>
        <v>12613.256351039257</v>
      </c>
      <c r="I9" s="126">
        <f>SUM('z17'!E8)</f>
        <v>27307.699999999993</v>
      </c>
      <c r="J9" s="46">
        <f t="shared" si="2"/>
        <v>27307699.999999993</v>
      </c>
      <c r="K9" s="326">
        <f t="shared" ref="K9:K11" si="3">SUM(J9/D9)</f>
        <v>9966.3138686131351</v>
      </c>
    </row>
    <row r="10" spans="2:11" ht="17.25" customHeight="1" x14ac:dyDescent="0.2">
      <c r="B10" s="125">
        <v>5</v>
      </c>
      <c r="C10" s="338" t="s">
        <v>56</v>
      </c>
      <c r="D10" s="46">
        <f>SUM('z17'!F22)</f>
        <v>2671</v>
      </c>
      <c r="E10" s="46">
        <f>SUM('z17'!G22)</f>
        <v>3056</v>
      </c>
      <c r="F10" s="46">
        <f>SUM('z17'!H22)</f>
        <v>2913</v>
      </c>
      <c r="G10" s="126">
        <f t="shared" si="0"/>
        <v>95.320680628272243</v>
      </c>
      <c r="H10" s="126">
        <f t="shared" si="1"/>
        <v>19416.065911431513</v>
      </c>
      <c r="I10" s="126">
        <f>SUM('z17'!E22)</f>
        <v>56559</v>
      </c>
      <c r="J10" s="46">
        <f t="shared" si="2"/>
        <v>56559000</v>
      </c>
      <c r="K10" s="326">
        <f t="shared" si="3"/>
        <v>21175.215275177838</v>
      </c>
    </row>
    <row r="11" spans="2:11" ht="16.5" customHeight="1" x14ac:dyDescent="0.2">
      <c r="B11" s="333">
        <v>6</v>
      </c>
      <c r="C11" s="339" t="s">
        <v>57</v>
      </c>
      <c r="D11" s="52">
        <f>SUM('z17'!F24)</f>
        <v>2345</v>
      </c>
      <c r="E11" s="52">
        <f>SUM('z17'!G24)</f>
        <v>2931</v>
      </c>
      <c r="F11" s="52">
        <f>SUM('z17'!H24)</f>
        <v>2540</v>
      </c>
      <c r="G11" s="354">
        <f t="shared" si="0"/>
        <v>86.659843056977138</v>
      </c>
      <c r="H11" s="354">
        <f t="shared" si="1"/>
        <v>19452.204724409446</v>
      </c>
      <c r="I11" s="354">
        <f>SUM('z17'!E24)</f>
        <v>49408.599999999991</v>
      </c>
      <c r="J11" s="52">
        <f t="shared" si="2"/>
        <v>49408599.999999993</v>
      </c>
      <c r="K11" s="329">
        <f t="shared" si="3"/>
        <v>21069.765458422171</v>
      </c>
    </row>
    <row r="12" spans="2:11" ht="16.5" customHeight="1" x14ac:dyDescent="0.2">
      <c r="B12" s="333">
        <v>7</v>
      </c>
      <c r="C12" s="339" t="s">
        <v>11</v>
      </c>
      <c r="D12" s="52">
        <f>SUM('z17'!F17)</f>
        <v>1389</v>
      </c>
      <c r="E12" s="52">
        <f>SUM('z17'!G17)</f>
        <v>1138</v>
      </c>
      <c r="F12" s="52">
        <f>SUM('z17'!H17)</f>
        <v>1044</v>
      </c>
      <c r="G12" s="354">
        <f>SUM(F12/E12)*100</f>
        <v>91.739894551845353</v>
      </c>
      <c r="H12" s="354">
        <f>SUM(J12/F12)</f>
        <v>9927.7777777777756</v>
      </c>
      <c r="I12" s="354">
        <f>SUM('z17'!E17)</f>
        <v>10364.599999999999</v>
      </c>
      <c r="J12" s="52">
        <f>SUM(I12*1000)</f>
        <v>10364599.999999998</v>
      </c>
      <c r="K12" s="329">
        <f>SUM(J12/D12)</f>
        <v>7461.9150467962554</v>
      </c>
    </row>
    <row r="13" spans="2:11" x14ac:dyDescent="0.2">
      <c r="B13" s="376">
        <v>8</v>
      </c>
      <c r="C13" s="377" t="s">
        <v>280</v>
      </c>
      <c r="D13" s="378">
        <f>SUM(D6:D11)</f>
        <v>31163</v>
      </c>
      <c r="E13" s="378">
        <f>SUM(E6:E11)</f>
        <v>24731</v>
      </c>
      <c r="F13" s="378">
        <f>SUM(F6:F11)</f>
        <v>21303</v>
      </c>
      <c r="G13" s="379">
        <f>SUM(F13/E13)*100</f>
        <v>86.138854069790952</v>
      </c>
      <c r="H13" s="379">
        <f>SUM(J13/F13)</f>
        <v>11688.893583063418</v>
      </c>
      <c r="I13" s="379">
        <f>SUM(I6:I11)</f>
        <v>249008.5</v>
      </c>
      <c r="J13" s="378">
        <f>SUM(I13*1000)</f>
        <v>249008500</v>
      </c>
      <c r="K13" s="385">
        <f>SUM(J13/D13)</f>
        <v>7990.5176010011874</v>
      </c>
    </row>
    <row r="14" spans="2:11" x14ac:dyDescent="0.2">
      <c r="B14" s="375">
        <v>9</v>
      </c>
      <c r="C14" s="373" t="s">
        <v>284</v>
      </c>
      <c r="D14" s="51">
        <f>SUM(D6:D12)</f>
        <v>32552</v>
      </c>
      <c r="E14" s="51">
        <f>SUM(E6:E12)</f>
        <v>25869</v>
      </c>
      <c r="F14" s="51">
        <f>SUM(F6:F12)</f>
        <v>22347</v>
      </c>
      <c r="G14" s="374">
        <f>SUM(F14/E14)*100</f>
        <v>86.38524875333411</v>
      </c>
      <c r="H14" s="374">
        <f>SUM(J14/F14)</f>
        <v>11606.618338031951</v>
      </c>
      <c r="I14" s="374">
        <f>SUM(I6:I12)</f>
        <v>259373.1</v>
      </c>
      <c r="J14" s="51">
        <f>SUM(I14*1000)</f>
        <v>259373100</v>
      </c>
      <c r="K14" s="370">
        <f>SUM(J14/D14)</f>
        <v>7967.9620299827966</v>
      </c>
    </row>
    <row r="16" spans="2:11" x14ac:dyDescent="0.2">
      <c r="D16" s="474">
        <v>96546.166666666672</v>
      </c>
      <c r="I16" s="49"/>
      <c r="J16" s="48"/>
    </row>
    <row r="17" spans="4:10" x14ac:dyDescent="0.2">
      <c r="D17" s="94">
        <f>SUM(D13)/D16*100</f>
        <v>32.277822181788679</v>
      </c>
      <c r="I17" s="49"/>
      <c r="J17" s="50"/>
    </row>
    <row r="18" spans="4:10" x14ac:dyDescent="0.2">
      <c r="D18" s="94">
        <f>SUM(D6:D11)</f>
        <v>31163</v>
      </c>
    </row>
    <row r="19" spans="4:10" x14ac:dyDescent="0.2">
      <c r="D19" s="94">
        <f>SUM(E6:E11)</f>
        <v>24731</v>
      </c>
    </row>
    <row r="20" spans="4:10" x14ac:dyDescent="0.2">
      <c r="D20" s="94">
        <f>SUM(D19)/D18*100</f>
        <v>79.36013862593461</v>
      </c>
    </row>
    <row r="21" spans="4:10" x14ac:dyDescent="0.2">
      <c r="D21" s="94">
        <f>SUM(D7)/D13*100</f>
        <v>50.726823476558735</v>
      </c>
    </row>
    <row r="22" spans="4:10" ht="15" x14ac:dyDescent="0.2">
      <c r="F22" s="54"/>
    </row>
    <row r="23" spans="4:10" x14ac:dyDescent="0.2">
      <c r="F23" s="47"/>
    </row>
    <row r="24" spans="4:10" x14ac:dyDescent="0.2">
      <c r="F24" s="47"/>
    </row>
    <row r="40" spans="6:6" ht="15" x14ac:dyDescent="0.2">
      <c r="F40" s="54"/>
    </row>
    <row r="41" spans="6:6" x14ac:dyDescent="0.2">
      <c r="F41" s="47"/>
    </row>
    <row r="42" spans="6:6" x14ac:dyDescent="0.2">
      <c r="F42" s="47"/>
    </row>
  </sheetData>
  <mergeCells count="1">
    <mergeCell ref="C2:C5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83</vt:i4>
      </vt:variant>
      <vt:variant>
        <vt:lpstr>Nazwane zakresy</vt:lpstr>
      </vt:variant>
      <vt:variant>
        <vt:i4>4</vt:i4>
      </vt:variant>
    </vt:vector>
  </HeadingPairs>
  <TitlesOfParts>
    <vt:vector size="87" baseType="lpstr">
      <vt:lpstr>25r</vt:lpstr>
      <vt:lpstr>24r</vt:lpstr>
      <vt:lpstr>23r</vt:lpstr>
      <vt:lpstr>22r</vt:lpstr>
      <vt:lpstr>21r</vt:lpstr>
      <vt:lpstr>20r</vt:lpstr>
      <vt:lpstr>18r</vt:lpstr>
      <vt:lpstr>19r</vt:lpstr>
      <vt:lpstr>17r</vt:lpstr>
      <vt:lpstr>16r</vt:lpstr>
      <vt:lpstr>15r</vt:lpstr>
      <vt:lpstr>S.25</vt:lpstr>
      <vt:lpstr>S.24</vt:lpstr>
      <vt:lpstr>W</vt:lpstr>
      <vt:lpstr>EKiZ25</vt:lpstr>
      <vt:lpstr>a</vt:lpstr>
      <vt:lpstr>b</vt:lpstr>
      <vt:lpstr>EZ.25</vt:lpstr>
      <vt:lpstr>c</vt:lpstr>
      <vt:lpstr>d</vt:lpstr>
      <vt:lpstr>d.25</vt:lpstr>
      <vt:lpstr>1.25</vt:lpstr>
      <vt:lpstr>2.25</vt:lpstr>
      <vt:lpstr>3.25</vt:lpstr>
      <vt:lpstr>4.25</vt:lpstr>
      <vt:lpstr>5.25</vt:lpstr>
      <vt:lpstr>6.25</vt:lpstr>
      <vt:lpstr>7.25</vt:lpstr>
      <vt:lpstr>EK1</vt:lpstr>
      <vt:lpstr>EK24</vt:lpstr>
      <vt:lpstr>I.25</vt:lpstr>
      <vt:lpstr>II.25</vt:lpstr>
      <vt:lpstr>III.25</vt:lpstr>
      <vt:lpstr>IV.25</vt:lpstr>
      <vt:lpstr>V.25</vt:lpstr>
      <vt:lpstr>VI.25</vt:lpstr>
      <vt:lpstr>VII.25</vt:lpstr>
      <vt:lpstr>z25</vt:lpstr>
      <vt:lpstr>z24</vt:lpstr>
      <vt:lpstr>z23</vt:lpstr>
      <vt:lpstr>z22</vt:lpstr>
      <vt:lpstr>z21</vt:lpstr>
      <vt:lpstr>z20</vt:lpstr>
      <vt:lpstr>z19</vt:lpstr>
      <vt:lpstr>z18</vt:lpstr>
      <vt:lpstr>z17</vt:lpstr>
      <vt:lpstr>z16</vt:lpstr>
      <vt:lpstr>z15</vt:lpstr>
      <vt:lpstr>W.25</vt:lpstr>
      <vt:lpstr>P.25</vt:lpstr>
      <vt:lpstr>P.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13w62</vt:lpstr>
      <vt:lpstr>14</vt:lpstr>
      <vt:lpstr>15</vt:lpstr>
      <vt:lpstr>16w63</vt:lpstr>
      <vt:lpstr>17</vt:lpstr>
      <vt:lpstr>18</vt:lpstr>
      <vt:lpstr>19</vt:lpstr>
      <vt:lpstr>20</vt:lpstr>
      <vt:lpstr>21</vt:lpstr>
      <vt:lpstr>61w07</vt:lpstr>
      <vt:lpstr>62</vt:lpstr>
      <vt:lpstr>63</vt:lpstr>
      <vt:lpstr>64w20</vt:lpstr>
      <vt:lpstr>przec.zat.</vt:lpstr>
      <vt:lpstr>26f</vt:lpstr>
      <vt:lpstr>22-25f</vt:lpstr>
      <vt:lpstr>21f</vt:lpstr>
      <vt:lpstr>20f</vt:lpstr>
      <vt:lpstr>19f</vt:lpstr>
      <vt:lpstr>18f</vt:lpstr>
      <vt:lpstr>przec.zat.!_ftn1</vt:lpstr>
      <vt:lpstr>przec.zat.!_ftnref1</vt:lpstr>
      <vt:lpstr>'22-25f'!JR_PAGE_ANCHOR_0_1</vt:lpstr>
      <vt:lpstr>'19f'!page1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Bartosz Kostecki</cp:lastModifiedBy>
  <cp:lastPrinted>2026-05-04T07:41:14Z</cp:lastPrinted>
  <dcterms:created xsi:type="dcterms:W3CDTF">2017-07-06T08:42:46Z</dcterms:created>
  <dcterms:modified xsi:type="dcterms:W3CDTF">2026-05-05T08:15:02Z</dcterms:modified>
</cp:coreProperties>
</file>